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3256" windowHeight="11076" tabRatio="920"/>
  </bookViews>
  <sheets>
    <sheet name="Sommaire" sheetId="24" r:id="rId1"/>
    <sheet name="2050 Actif" sheetId="1" r:id="rId2"/>
    <sheet name="2051 Passif" sheetId="2" r:id="rId3"/>
    <sheet name="2052 et 2053 CR par nature" sheetId="3" r:id="rId4"/>
    <sheet name="2054 Immobilisations" sheetId="9" state="hidden" r:id="rId5"/>
    <sheet name="2055 Amortissements" sheetId="13" state="hidden" r:id="rId6"/>
    <sheet name="2056 Dépréciations e provisions" sheetId="14" state="hidden" r:id="rId7"/>
    <sheet name="2057 Créances et Dettes" sheetId="15" r:id="rId8"/>
    <sheet name="Informations complémentaire" sheetId="10" r:id="rId9"/>
    <sheet name="Calcul intermédiaire" sheetId="19" r:id="rId10"/>
    <sheet name="SIG" sheetId="4" r:id="rId11"/>
    <sheet name="CAF" sheetId="7" r:id="rId12"/>
    <sheet name="Bilan Fonctionnel" sheetId="16" r:id="rId13"/>
    <sheet name="Bilan économique" sheetId="38" r:id="rId14"/>
    <sheet name="Bilan financier (patrimoinial)" sheetId="39" r:id="rId15"/>
    <sheet name="FRNG BFR et TN fonctionnels" sheetId="17" r:id="rId16"/>
  </sheets>
  <definedNames>
    <definedName name="PCEA_N">'Informations complémentaire'!$G$110</definedName>
    <definedName name="taux_IS">'Informations complémentaire'!$E$5</definedName>
    <definedName name="VCEAC_N">'Informations complémentaire'!$G$111</definedName>
  </definedNames>
  <calcPr calcId="125725"/>
</workbook>
</file>

<file path=xl/calcChain.xml><?xml version="1.0" encoding="utf-8"?>
<calcChain xmlns="http://schemas.openxmlformats.org/spreadsheetml/2006/main">
  <c r="H37" i="10"/>
  <c r="H34" s="1"/>
  <c r="G37"/>
  <c r="G34" s="1"/>
  <c r="H33"/>
  <c r="G33"/>
  <c r="S40" i="1" l="1"/>
  <c r="S26"/>
  <c r="S44" l="1"/>
  <c r="J15" i="38"/>
  <c r="I15"/>
  <c r="J5"/>
  <c r="I5"/>
  <c r="E6" i="10" l="1"/>
  <c r="E5"/>
  <c r="H95" l="1"/>
  <c r="H84"/>
  <c r="G84"/>
  <c r="G95"/>
  <c r="G24"/>
  <c r="E4" i="17" l="1"/>
  <c r="F4"/>
  <c r="K5" i="16"/>
  <c r="J67"/>
  <c r="J5"/>
  <c r="H4" i="7"/>
  <c r="K67" i="16"/>
  <c r="I54" i="7"/>
  <c r="H54"/>
  <c r="I4"/>
  <c r="K4" i="4"/>
  <c r="J4"/>
  <c r="F4" i="3"/>
  <c r="L4"/>
  <c r="M4" i="2"/>
  <c r="K4"/>
  <c r="H8" i="10"/>
  <c r="S4" i="1"/>
  <c r="N4"/>
  <c r="I4"/>
  <c r="G8" i="10"/>
  <c r="K8" i="3" l="1"/>
  <c r="K7"/>
  <c r="K9" l="1"/>
  <c r="K52" i="16"/>
  <c r="K61"/>
  <c r="K54"/>
  <c r="K53"/>
  <c r="K38"/>
  <c r="K36"/>
  <c r="K35"/>
  <c r="K34"/>
  <c r="K33"/>
  <c r="K32"/>
  <c r="H62" i="10"/>
  <c r="G62"/>
  <c r="J258" i="4" l="1"/>
  <c r="J259"/>
  <c r="J263"/>
  <c r="J264"/>
  <c r="J266"/>
  <c r="J267"/>
  <c r="J272"/>
  <c r="J273"/>
  <c r="J8" i="16"/>
  <c r="K8"/>
  <c r="J9"/>
  <c r="K9"/>
  <c r="J10"/>
  <c r="K10"/>
  <c r="J11"/>
  <c r="K11"/>
  <c r="J12"/>
  <c r="K12"/>
  <c r="J13"/>
  <c r="K13"/>
  <c r="J14"/>
  <c r="K14"/>
  <c r="J15"/>
  <c r="K15"/>
  <c r="J16"/>
  <c r="K16"/>
  <c r="J18"/>
  <c r="K18"/>
  <c r="J20"/>
  <c r="K20"/>
  <c r="J21"/>
  <c r="K21"/>
  <c r="J22"/>
  <c r="K22"/>
  <c r="J23"/>
  <c r="K23"/>
  <c r="J24"/>
  <c r="K24"/>
  <c r="J25"/>
  <c r="K25"/>
  <c r="J26"/>
  <c r="K26"/>
  <c r="K27"/>
  <c r="K28"/>
  <c r="J32"/>
  <c r="J33"/>
  <c r="J34"/>
  <c r="J35"/>
  <c r="J36"/>
  <c r="J38"/>
  <c r="J39"/>
  <c r="K39"/>
  <c r="J40"/>
  <c r="K40"/>
  <c r="J42"/>
  <c r="K42"/>
  <c r="J44"/>
  <c r="K44"/>
  <c r="J46"/>
  <c r="K46"/>
  <c r="J47"/>
  <c r="K47"/>
  <c r="J48"/>
  <c r="K48"/>
  <c r="J52"/>
  <c r="J53"/>
  <c r="J54"/>
  <c r="J56"/>
  <c r="K56"/>
  <c r="J57"/>
  <c r="K57"/>
  <c r="J58"/>
  <c r="K58"/>
  <c r="J59"/>
  <c r="K59"/>
  <c r="J62"/>
  <c r="K62"/>
  <c r="J48" i="4"/>
  <c r="J49"/>
  <c r="J50"/>
  <c r="J52"/>
  <c r="J53"/>
  <c r="J54"/>
  <c r="J64"/>
  <c r="J72"/>
  <c r="J75"/>
  <c r="J92"/>
  <c r="J101"/>
  <c r="J103"/>
  <c r="J105"/>
  <c r="J107"/>
  <c r="J113"/>
  <c r="J118"/>
  <c r="J119"/>
  <c r="J120"/>
  <c r="J122"/>
  <c r="J126"/>
  <c r="J131"/>
  <c r="J132"/>
  <c r="J136"/>
  <c r="J143"/>
  <c r="J144"/>
  <c r="J145"/>
  <c r="J146"/>
  <c r="J147"/>
  <c r="J149"/>
  <c r="J150"/>
  <c r="J153"/>
  <c r="J154"/>
  <c r="J159"/>
  <c r="J160"/>
  <c r="J163"/>
  <c r="J164"/>
  <c r="J165"/>
  <c r="J166"/>
  <c r="J167"/>
  <c r="J171"/>
  <c r="J172"/>
  <c r="J173"/>
  <c r="J176"/>
  <c r="J177"/>
  <c r="J179"/>
  <c r="J180"/>
  <c r="J182"/>
  <c r="J183"/>
  <c r="J186"/>
  <c r="J187"/>
  <c r="J189"/>
  <c r="J190"/>
  <c r="J195"/>
  <c r="J201"/>
  <c r="J206"/>
  <c r="J207"/>
  <c r="J208"/>
  <c r="J210"/>
  <c r="J211"/>
  <c r="J214"/>
  <c r="J215"/>
  <c r="J216"/>
  <c r="J217"/>
  <c r="J220"/>
  <c r="J221"/>
  <c r="J222"/>
  <c r="J223"/>
  <c r="J224"/>
  <c r="J227"/>
  <c r="J228"/>
  <c r="J229"/>
  <c r="J230"/>
  <c r="J232"/>
  <c r="J233"/>
  <c r="J236"/>
  <c r="J237"/>
  <c r="J238"/>
  <c r="J239"/>
  <c r="J241"/>
  <c r="J242"/>
  <c r="J244"/>
  <c r="J245"/>
  <c r="J248"/>
  <c r="J250"/>
  <c r="L49" i="2"/>
  <c r="M49"/>
  <c r="L52"/>
  <c r="M52"/>
  <c r="J48" i="1"/>
  <c r="L48"/>
  <c r="O48"/>
  <c r="Q48"/>
  <c r="M49"/>
  <c r="R49"/>
  <c r="M50"/>
  <c r="R50"/>
  <c r="J51"/>
  <c r="L51"/>
  <c r="O51"/>
  <c r="Q51"/>
  <c r="K37" i="16" l="1"/>
  <c r="M37" s="1"/>
  <c r="R51" i="1"/>
  <c r="R48"/>
  <c r="J31" i="16"/>
  <c r="J37"/>
  <c r="K31"/>
  <c r="J19"/>
  <c r="K19"/>
  <c r="M19" s="1"/>
  <c r="K60"/>
  <c r="J151" i="4"/>
  <c r="J212" s="1"/>
  <c r="M51" i="1"/>
  <c r="M48"/>
  <c r="J76" i="4"/>
  <c r="J191"/>
  <c r="J240"/>
  <c r="J55"/>
  <c r="J65" s="1"/>
  <c r="J51"/>
  <c r="J78" s="1"/>
  <c r="J243"/>
  <c r="J133"/>
  <c r="J121"/>
  <c r="J209" s="1"/>
  <c r="K77" i="16"/>
  <c r="K76"/>
  <c r="K75"/>
  <c r="K71"/>
  <c r="H64" i="10"/>
  <c r="G64"/>
  <c r="H58"/>
  <c r="G58"/>
  <c r="H52"/>
  <c r="G52"/>
  <c r="H50"/>
  <c r="G50"/>
  <c r="G49"/>
  <c r="H43"/>
  <c r="G43"/>
  <c r="H42"/>
  <c r="H44" s="1"/>
  <c r="G42"/>
  <c r="G44" s="1"/>
  <c r="G45" s="1"/>
  <c r="M31" i="16" l="1"/>
  <c r="L37"/>
  <c r="G29" i="10"/>
  <c r="J45" i="16"/>
  <c r="J55"/>
  <c r="J43"/>
  <c r="J51"/>
  <c r="K43"/>
  <c r="K51"/>
  <c r="L31"/>
  <c r="J77" i="4"/>
  <c r="J79" s="1"/>
  <c r="J137"/>
  <c r="J231"/>
  <c r="J234" s="1"/>
  <c r="J169"/>
  <c r="J135"/>
  <c r="J175"/>
  <c r="H45" i="10"/>
  <c r="J50" i="16" l="1"/>
  <c r="J41"/>
  <c r="J80" i="4"/>
  <c r="R7" i="1"/>
  <c r="R43"/>
  <c r="R42"/>
  <c r="R41"/>
  <c r="Q40"/>
  <c r="R38"/>
  <c r="R37"/>
  <c r="R36"/>
  <c r="R35"/>
  <c r="S51" s="1"/>
  <c r="R34"/>
  <c r="R33"/>
  <c r="S48" s="1"/>
  <c r="R32"/>
  <c r="R31"/>
  <c r="R30"/>
  <c r="R29"/>
  <c r="R28"/>
  <c r="R27"/>
  <c r="Q26"/>
  <c r="O26"/>
  <c r="R25"/>
  <c r="R24"/>
  <c r="R23"/>
  <c r="R22"/>
  <c r="R21"/>
  <c r="R20"/>
  <c r="R19"/>
  <c r="R18"/>
  <c r="R17"/>
  <c r="R16"/>
  <c r="R15"/>
  <c r="R14"/>
  <c r="R13"/>
  <c r="R12"/>
  <c r="R11"/>
  <c r="R10"/>
  <c r="R9"/>
  <c r="R8"/>
  <c r="R6"/>
  <c r="J30" i="16" l="1"/>
  <c r="J49"/>
  <c r="Q44" i="1"/>
  <c r="R26"/>
  <c r="J77" i="16"/>
  <c r="J75"/>
  <c r="J71"/>
  <c r="K73" l="1"/>
  <c r="L95" i="10"/>
  <c r="K95"/>
  <c r="L84"/>
  <c r="M64" l="1"/>
  <c r="J49" i="19" l="1"/>
  <c r="J47"/>
  <c r="J46"/>
  <c r="J44"/>
  <c r="J43"/>
  <c r="J61"/>
  <c r="J60"/>
  <c r="J59"/>
  <c r="J55"/>
  <c r="J38"/>
  <c r="J37"/>
  <c r="J34"/>
  <c r="J33"/>
  <c r="J27"/>
  <c r="J26"/>
  <c r="J25"/>
  <c r="J18"/>
  <c r="J17"/>
  <c r="J16"/>
  <c r="J12"/>
  <c r="K71" i="10" l="1"/>
  <c r="K70"/>
  <c r="K65"/>
  <c r="K64"/>
  <c r="H29"/>
  <c r="H28"/>
  <c r="G28"/>
  <c r="H26"/>
  <c r="G26"/>
  <c r="G117" s="1"/>
  <c r="G25"/>
  <c r="J17" i="16"/>
  <c r="J7" s="1"/>
  <c r="J6" s="1"/>
  <c r="J102" i="4" l="1"/>
  <c r="J104" s="1"/>
  <c r="J106" s="1"/>
  <c r="J194" s="1"/>
  <c r="J257"/>
  <c r="J265"/>
  <c r="J138"/>
  <c r="J139" s="1"/>
  <c r="J174"/>
  <c r="J178" s="1"/>
  <c r="J58" i="19"/>
  <c r="K74" i="16"/>
  <c r="H56" i="7"/>
  <c r="G9" i="3"/>
  <c r="J134" i="4" l="1"/>
  <c r="J140" s="1"/>
  <c r="H25" i="10"/>
  <c r="H24"/>
  <c r="K17" i="16" s="1"/>
  <c r="K7" s="1"/>
  <c r="M7" s="1"/>
  <c r="J148" i="4" l="1"/>
  <c r="J22" i="19"/>
  <c r="J13"/>
  <c r="G27" i="10"/>
  <c r="J271" i="4" s="1"/>
  <c r="H27" i="10"/>
  <c r="J246" i="4" l="1"/>
  <c r="J247" s="1"/>
  <c r="J184"/>
  <c r="J185" s="1"/>
  <c r="K128" i="16"/>
  <c r="J128"/>
  <c r="K125"/>
  <c r="J125"/>
  <c r="K120"/>
  <c r="J120"/>
  <c r="K119"/>
  <c r="J119"/>
  <c r="K118"/>
  <c r="J118"/>
  <c r="K117"/>
  <c r="J117"/>
  <c r="K116"/>
  <c r="J116"/>
  <c r="K115"/>
  <c r="J115"/>
  <c r="K114"/>
  <c r="J114"/>
  <c r="K113"/>
  <c r="J113"/>
  <c r="K112"/>
  <c r="J112"/>
  <c r="K105"/>
  <c r="J105"/>
  <c r="K104"/>
  <c r="J104"/>
  <c r="K103"/>
  <c r="J103"/>
  <c r="K102"/>
  <c r="J102"/>
  <c r="K101"/>
  <c r="J101"/>
  <c r="K100"/>
  <c r="J100"/>
  <c r="K96"/>
  <c r="J96"/>
  <c r="K91"/>
  <c r="J91"/>
  <c r="K90"/>
  <c r="J90"/>
  <c r="K86"/>
  <c r="J86"/>
  <c r="K85"/>
  <c r="J85"/>
  <c r="K84"/>
  <c r="J84"/>
  <c r="K83"/>
  <c r="J83"/>
  <c r="K82"/>
  <c r="J82"/>
  <c r="K81"/>
  <c r="J81"/>
  <c r="K80"/>
  <c r="J80"/>
  <c r="K79"/>
  <c r="J79"/>
  <c r="J76"/>
  <c r="F8" i="17" l="1"/>
  <c r="K122" i="16"/>
  <c r="K107"/>
  <c r="K97"/>
  <c r="K88"/>
  <c r="J122"/>
  <c r="J107"/>
  <c r="J97"/>
  <c r="J88"/>
  <c r="K123"/>
  <c r="K108"/>
  <c r="K98"/>
  <c r="K89"/>
  <c r="J35" i="19"/>
  <c r="J123" i="16"/>
  <c r="J108"/>
  <c r="J98"/>
  <c r="J89"/>
  <c r="J24" i="19" l="1"/>
  <c r="J15"/>
  <c r="J23"/>
  <c r="J14"/>
  <c r="J48"/>
  <c r="J36"/>
  <c r="J95" i="16"/>
  <c r="E11" i="17" s="1"/>
  <c r="K95" i="16"/>
  <c r="H58" i="7"/>
  <c r="H49"/>
  <c r="H48"/>
  <c r="H46"/>
  <c r="H45"/>
  <c r="H43"/>
  <c r="H42"/>
  <c r="H41"/>
  <c r="H39"/>
  <c r="H36"/>
  <c r="H34"/>
  <c r="H33"/>
  <c r="H32"/>
  <c r="H31"/>
  <c r="H28"/>
  <c r="H27"/>
  <c r="H26"/>
  <c r="H25"/>
  <c r="H24"/>
  <c r="H23"/>
  <c r="H22"/>
  <c r="H21"/>
  <c r="H20"/>
  <c r="H19"/>
  <c r="H18"/>
  <c r="H17"/>
  <c r="H16"/>
  <c r="H14"/>
  <c r="H13"/>
  <c r="H12"/>
  <c r="H11"/>
  <c r="H10"/>
  <c r="H8"/>
  <c r="H7"/>
  <c r="H6"/>
  <c r="J42" i="4"/>
  <c r="J41"/>
  <c r="K39"/>
  <c r="K38"/>
  <c r="J39"/>
  <c r="J38"/>
  <c r="K31"/>
  <c r="K30"/>
  <c r="J31"/>
  <c r="J30"/>
  <c r="I9" i="3"/>
  <c r="K28" i="4"/>
  <c r="J28"/>
  <c r="K27"/>
  <c r="J27"/>
  <c r="K26"/>
  <c r="J26"/>
  <c r="J25"/>
  <c r="K22"/>
  <c r="K21"/>
  <c r="K20"/>
  <c r="K19"/>
  <c r="J22"/>
  <c r="J21"/>
  <c r="J20"/>
  <c r="J19"/>
  <c r="K16"/>
  <c r="K15"/>
  <c r="K14"/>
  <c r="J16"/>
  <c r="J15"/>
  <c r="J14"/>
  <c r="K11"/>
  <c r="K10"/>
  <c r="J11"/>
  <c r="J10"/>
  <c r="K9"/>
  <c r="J9"/>
  <c r="L9" i="3"/>
  <c r="K7" i="4"/>
  <c r="J7"/>
  <c r="K6"/>
  <c r="J6"/>
  <c r="K5"/>
  <c r="K43"/>
  <c r="L43" s="1"/>
  <c r="J5"/>
  <c r="X20" i="13"/>
  <c r="X22" s="1"/>
  <c r="AA20"/>
  <c r="AD20"/>
  <c r="R20"/>
  <c r="R22" s="1"/>
  <c r="U9"/>
  <c r="Q6" i="14"/>
  <c r="J17" i="4" l="1"/>
  <c r="F11" i="17"/>
  <c r="M95" i="16"/>
  <c r="H9" i="7"/>
  <c r="H47"/>
  <c r="L95" i="16"/>
  <c r="H44" i="7"/>
  <c r="H30"/>
  <c r="K17" i="4"/>
  <c r="K23"/>
  <c r="K12"/>
  <c r="K8"/>
  <c r="AA22" i="13"/>
  <c r="AP20"/>
  <c r="AP22" s="1"/>
  <c r="AM20"/>
  <c r="AJ20"/>
  <c r="AG20"/>
  <c r="AG22" s="1"/>
  <c r="AG23" s="1"/>
  <c r="AD22"/>
  <c r="AA8" i="9"/>
  <c r="AA25"/>
  <c r="AA24"/>
  <c r="AA23"/>
  <c r="AA22"/>
  <c r="AA11"/>
  <c r="AA10"/>
  <c r="AA20"/>
  <c r="AA19"/>
  <c r="AA18"/>
  <c r="AA17"/>
  <c r="AA16"/>
  <c r="AA15"/>
  <c r="AA14"/>
  <c r="AA13"/>
  <c r="AA12"/>
  <c r="AA9"/>
  <c r="AD26"/>
  <c r="X26"/>
  <c r="U26"/>
  <c r="AD21"/>
  <c r="X21"/>
  <c r="U21"/>
  <c r="U27" l="1"/>
  <c r="G11" i="17"/>
  <c r="H11"/>
  <c r="AD27" i="9"/>
  <c r="AA26"/>
  <c r="AA21"/>
  <c r="K13" i="4"/>
  <c r="K18" s="1"/>
  <c r="AA23" i="13"/>
  <c r="AP23" s="1"/>
  <c r="X27" i="9"/>
  <c r="L44" i="15"/>
  <c r="R44"/>
  <c r="O44"/>
  <c r="I44"/>
  <c r="R21"/>
  <c r="O21"/>
  <c r="L21"/>
  <c r="N36" i="14"/>
  <c r="K36"/>
  <c r="H36"/>
  <c r="Q35"/>
  <c r="Q34"/>
  <c r="Q33"/>
  <c r="Q32"/>
  <c r="Q30"/>
  <c r="Q29"/>
  <c r="Q28"/>
  <c r="N27"/>
  <c r="K27"/>
  <c r="H27"/>
  <c r="Q26"/>
  <c r="Q25"/>
  <c r="Q24"/>
  <c r="Q23"/>
  <c r="Q22"/>
  <c r="Q21"/>
  <c r="Q20"/>
  <c r="Q19"/>
  <c r="Q18"/>
  <c r="Q17"/>
  <c r="Q16"/>
  <c r="N15"/>
  <c r="K15"/>
  <c r="H15"/>
  <c r="Q14"/>
  <c r="Q13"/>
  <c r="Q12"/>
  <c r="Q11"/>
  <c r="Q10"/>
  <c r="Q9"/>
  <c r="Q8"/>
  <c r="Q7"/>
  <c r="L20" i="13"/>
  <c r="L22" s="1"/>
  <c r="U29"/>
  <c r="U28"/>
  <c r="O20"/>
  <c r="O22" s="1"/>
  <c r="U19"/>
  <c r="U18"/>
  <c r="U17"/>
  <c r="U16"/>
  <c r="U15"/>
  <c r="U14"/>
  <c r="U13"/>
  <c r="U12"/>
  <c r="U11"/>
  <c r="U10"/>
  <c r="L21" i="9"/>
  <c r="R26"/>
  <c r="O26"/>
  <c r="L26"/>
  <c r="R21"/>
  <c r="O21"/>
  <c r="M34" i="2"/>
  <c r="L34"/>
  <c r="L40" i="1"/>
  <c r="J57" i="19" l="1"/>
  <c r="Q15" i="14"/>
  <c r="J56" i="19"/>
  <c r="J11"/>
  <c r="Q27" i="14"/>
  <c r="H37"/>
  <c r="O27" i="9"/>
  <c r="AA27"/>
  <c r="K37" i="14"/>
  <c r="Q36"/>
  <c r="K24" i="4"/>
  <c r="N37" i="14"/>
  <c r="L27" i="9"/>
  <c r="J21" i="19" s="1"/>
  <c r="J20" s="1"/>
  <c r="U20" i="13"/>
  <c r="U22" s="1"/>
  <c r="R27" i="9"/>
  <c r="J74" i="16" l="1"/>
  <c r="Q37" i="14"/>
  <c r="K29" i="4"/>
  <c r="M6" i="1"/>
  <c r="L54" i="3"/>
  <c r="K36" i="4" s="1"/>
  <c r="K54" i="3"/>
  <c r="J36" i="4" s="1"/>
  <c r="L50" i="3"/>
  <c r="K35" i="4" s="1"/>
  <c r="K50" i="3"/>
  <c r="L44"/>
  <c r="K33" i="4" s="1"/>
  <c r="K44" i="3"/>
  <c r="L39"/>
  <c r="K32" i="4" s="1"/>
  <c r="K39" i="3"/>
  <c r="L29"/>
  <c r="K29"/>
  <c r="K37" i="4" l="1"/>
  <c r="E14" i="17"/>
  <c r="J109" i="16"/>
  <c r="J127"/>
  <c r="J121"/>
  <c r="J111" s="1"/>
  <c r="E15" i="17" s="1"/>
  <c r="J106" i="16"/>
  <c r="K127"/>
  <c r="K109"/>
  <c r="K121"/>
  <c r="K111" s="1"/>
  <c r="M111" s="1"/>
  <c r="K106"/>
  <c r="H38" i="7"/>
  <c r="J33" i="4"/>
  <c r="H35" i="7"/>
  <c r="H37" s="1"/>
  <c r="J32" i="4"/>
  <c r="K55" i="3"/>
  <c r="J35" i="4"/>
  <c r="J37" s="1"/>
  <c r="K34"/>
  <c r="L59" i="3"/>
  <c r="L45"/>
  <c r="L55"/>
  <c r="K45"/>
  <c r="K59"/>
  <c r="E10" i="17"/>
  <c r="L15" i="3"/>
  <c r="K15"/>
  <c r="M23" i="2"/>
  <c r="K72" i="16" s="1"/>
  <c r="L23" i="2"/>
  <c r="J72" i="16" s="1"/>
  <c r="M20" i="2"/>
  <c r="L20"/>
  <c r="J10" i="19"/>
  <c r="J9" s="1"/>
  <c r="K6" i="16" s="1"/>
  <c r="M43" i="1"/>
  <c r="K84" i="10" s="1"/>
  <c r="M41" i="1"/>
  <c r="M42"/>
  <c r="L26"/>
  <c r="J26"/>
  <c r="M39"/>
  <c r="M37"/>
  <c r="M36"/>
  <c r="M35"/>
  <c r="M33"/>
  <c r="M32"/>
  <c r="M31"/>
  <c r="M30"/>
  <c r="M29"/>
  <c r="M28"/>
  <c r="M27"/>
  <c r="M25"/>
  <c r="M24"/>
  <c r="M23"/>
  <c r="M22"/>
  <c r="M21"/>
  <c r="M20"/>
  <c r="M19"/>
  <c r="M18"/>
  <c r="M17"/>
  <c r="M16"/>
  <c r="M15"/>
  <c r="M14"/>
  <c r="M13"/>
  <c r="M12"/>
  <c r="M11"/>
  <c r="M10"/>
  <c r="M9"/>
  <c r="M8"/>
  <c r="M7"/>
  <c r="L6" i="16" l="1"/>
  <c r="M6"/>
  <c r="J213" i="4"/>
  <c r="J152"/>
  <c r="J161" s="1"/>
  <c r="J162"/>
  <c r="J168" s="1"/>
  <c r="J225" s="1"/>
  <c r="J219"/>
  <c r="L37"/>
  <c r="K99" i="16"/>
  <c r="K110"/>
  <c r="M110" s="1"/>
  <c r="F15" i="17"/>
  <c r="E16"/>
  <c r="J99" i="16"/>
  <c r="J94" s="1"/>
  <c r="K126"/>
  <c r="K124" s="1"/>
  <c r="K92"/>
  <c r="J126"/>
  <c r="J124" s="1"/>
  <c r="E19" i="17" s="1"/>
  <c r="J92" i="16"/>
  <c r="L111"/>
  <c r="J110"/>
  <c r="K40" i="4"/>
  <c r="K58" i="3"/>
  <c r="K60" s="1"/>
  <c r="K30"/>
  <c r="J142" i="4" s="1"/>
  <c r="L58" i="3"/>
  <c r="L60" s="1"/>
  <c r="L30"/>
  <c r="L46" s="1"/>
  <c r="M26" i="1"/>
  <c r="M34"/>
  <c r="L44"/>
  <c r="J73" i="16" s="1"/>
  <c r="J218" i="4" l="1"/>
  <c r="J226" s="1"/>
  <c r="J235" s="1"/>
  <c r="J251" s="1"/>
  <c r="J249" s="1"/>
  <c r="J170"/>
  <c r="J181" s="1"/>
  <c r="J188" s="1"/>
  <c r="J192" s="1"/>
  <c r="M124" i="16"/>
  <c r="K93"/>
  <c r="G15" i="17"/>
  <c r="H15"/>
  <c r="F12"/>
  <c r="M99" i="16"/>
  <c r="F18" i="17"/>
  <c r="K94" i="16"/>
  <c r="F9" i="17"/>
  <c r="L99" i="16"/>
  <c r="E12" i="17"/>
  <c r="L110" i="16"/>
  <c r="F19" i="17"/>
  <c r="L124" i="16"/>
  <c r="J93"/>
  <c r="H5" i="7"/>
  <c r="K46" i="3"/>
  <c r="L13" i="2"/>
  <c r="M13"/>
  <c r="E8" i="17"/>
  <c r="H8" s="1"/>
  <c r="M93" i="16" l="1"/>
  <c r="H12" i="17"/>
  <c r="L16" i="2"/>
  <c r="J70" i="16" s="1"/>
  <c r="J69" s="1"/>
  <c r="M16" i="2"/>
  <c r="K70" i="16" s="1"/>
  <c r="O39" i="1"/>
  <c r="H9" i="17"/>
  <c r="G19"/>
  <c r="H19"/>
  <c r="L94" i="16"/>
  <c r="M94"/>
  <c r="G12" i="17"/>
  <c r="G8"/>
  <c r="E9"/>
  <c r="G9" s="1"/>
  <c r="L93" i="16"/>
  <c r="F20" i="17"/>
  <c r="H15" i="7"/>
  <c r="H40"/>
  <c r="H29"/>
  <c r="L36" i="2" l="1"/>
  <c r="J54" i="19"/>
  <c r="J53" s="1"/>
  <c r="M36" i="2"/>
  <c r="H49" i="10"/>
  <c r="K55" i="16" s="1"/>
  <c r="K50" s="1"/>
  <c r="O40" i="1"/>
  <c r="R39"/>
  <c r="J61" i="16"/>
  <c r="J60" s="1"/>
  <c r="M60" s="1"/>
  <c r="J40" i="1"/>
  <c r="M38"/>
  <c r="K69" i="16"/>
  <c r="L69" s="1"/>
  <c r="E13" i="17"/>
  <c r="H55" i="7"/>
  <c r="H57" s="1"/>
  <c r="H50"/>
  <c r="J12" i="4"/>
  <c r="L12" s="1"/>
  <c r="J23"/>
  <c r="J43"/>
  <c r="J8"/>
  <c r="L8" l="1"/>
  <c r="J13"/>
  <c r="M50" i="16"/>
  <c r="K49"/>
  <c r="L50"/>
  <c r="F14" i="17"/>
  <c r="J44" i="1"/>
  <c r="M44" s="1"/>
  <c r="M40"/>
  <c r="L60" i="16"/>
  <c r="J29"/>
  <c r="E18" i="17"/>
  <c r="H18" s="1"/>
  <c r="O44" i="1"/>
  <c r="R44" s="1"/>
  <c r="R40"/>
  <c r="J32" i="19" s="1"/>
  <c r="J31" s="1"/>
  <c r="K45" i="16"/>
  <c r="K41" s="1"/>
  <c r="J45" i="19"/>
  <c r="J42" s="1"/>
  <c r="M69" i="16"/>
  <c r="E17" i="17"/>
  <c r="K30" i="16" l="1"/>
  <c r="K29" s="1"/>
  <c r="L41"/>
  <c r="M41"/>
  <c r="F10" i="17"/>
  <c r="J63" i="16"/>
  <c r="H14" i="17"/>
  <c r="F16"/>
  <c r="G14"/>
  <c r="M49" i="16"/>
  <c r="L49"/>
  <c r="E20" i="17"/>
  <c r="G18"/>
  <c r="J18" i="4"/>
  <c r="G20" i="17" l="1"/>
  <c r="H20"/>
  <c r="M29" i="16"/>
  <c r="K63"/>
  <c r="H16" i="17"/>
  <c r="G16"/>
  <c r="L29" i="16"/>
  <c r="G10" i="17"/>
  <c r="H10"/>
  <c r="F13"/>
  <c r="M30" i="16"/>
  <c r="L30"/>
  <c r="L18" i="4"/>
  <c r="J256"/>
  <c r="J260" s="1"/>
  <c r="J24"/>
  <c r="H13" i="17" l="1"/>
  <c r="F17"/>
  <c r="G13"/>
  <c r="L63" i="16"/>
  <c r="M63"/>
  <c r="L24" i="4"/>
  <c r="J262"/>
  <c r="J268" s="1"/>
  <c r="J29"/>
  <c r="J270" s="1"/>
  <c r="J274" s="1"/>
  <c r="H17" i="17" l="1"/>
  <c r="G17"/>
  <c r="J34" i="4"/>
  <c r="L34" s="1"/>
  <c r="L29"/>
  <c r="J40" l="1"/>
  <c r="L40" s="1"/>
  <c r="H59" i="7"/>
  <c r="H60" s="1"/>
  <c r="K87" i="16"/>
  <c r="K78" s="1"/>
  <c r="J87"/>
  <c r="J78" s="1"/>
  <c r="K68" l="1"/>
  <c r="M78"/>
  <c r="J68"/>
  <c r="L78"/>
  <c r="F6" i="17"/>
  <c r="E6"/>
  <c r="H6" l="1"/>
  <c r="M68" i="16"/>
  <c r="K129"/>
  <c r="F5" i="17"/>
  <c r="G6"/>
  <c r="E5"/>
  <c r="L68" i="16"/>
  <c r="J129"/>
  <c r="H5" i="17" l="1"/>
  <c r="L129" i="16"/>
  <c r="G5" i="17"/>
  <c r="F7"/>
  <c r="F21" s="1"/>
  <c r="M129" i="16"/>
  <c r="E7" i="17"/>
  <c r="H7" l="1"/>
  <c r="G7"/>
  <c r="E21"/>
  <c r="G21" s="1"/>
  <c r="H21" l="1"/>
</calcChain>
</file>

<file path=xl/comments1.xml><?xml version="1.0" encoding="utf-8"?>
<comments xmlns="http://schemas.openxmlformats.org/spreadsheetml/2006/main">
  <authors>
    <author/>
  </authors>
  <commentList>
    <comment ref="H21" authorId="0">
      <text>
        <r>
          <rPr>
            <sz val="10"/>
            <rFont val="Arial"/>
            <family val="2"/>
          </rPr>
          <t>Le compte 648 est réparti selon le cas entre "salaires et traitement" et "charges sociales"</t>
        </r>
      </text>
    </comment>
    <comment ref="H27" authorId="0">
      <text>
        <r>
          <rPr>
            <sz val="10"/>
            <rFont val="Arial"/>
            <family val="2"/>
          </rPr>
          <t>75 (sauf 755)</t>
        </r>
      </text>
    </comment>
    <comment ref="H28" authorId="0">
      <text>
        <r>
          <rPr>
            <sz val="10"/>
            <rFont val="Arial"/>
            <family val="2"/>
          </rPr>
          <t>65 (sauf 655)</t>
        </r>
      </text>
    </comment>
    <comment ref="H113" authorId="0">
      <text>
        <r>
          <rPr>
            <sz val="10"/>
            <rFont val="Arial"/>
            <family val="2"/>
          </rPr>
          <t>75 (sauf 755)</t>
        </r>
      </text>
    </comment>
    <comment ref="H118" authorId="0">
      <text>
        <r>
          <rPr>
            <sz val="10"/>
            <rFont val="Arial"/>
            <family val="2"/>
          </rPr>
          <t>65 (sauf 655)</t>
        </r>
      </text>
    </comment>
    <comment ref="F125" authorId="0">
      <text>
        <r>
          <rPr>
            <sz val="10"/>
            <rFont val="Arial"/>
            <family val="2"/>
          </rPr>
          <t>Le compte 648 est réparti selon le cas entre "salaires et traitement" et "charges sociales"</t>
        </r>
      </text>
    </comment>
    <comment ref="H126" authorId="0">
      <text>
        <r>
          <rPr>
            <sz val="10"/>
            <rFont val="Arial"/>
            <family val="2"/>
          </rPr>
          <t>Le compte 648 est réparti selon le cas entre "salaires et traitement" et "charges sociales"</t>
        </r>
      </text>
    </comment>
    <comment ref="F130" authorId="0">
      <text>
        <r>
          <rPr>
            <sz val="10"/>
            <rFont val="Arial"/>
            <family val="2"/>
          </rPr>
          <t>Le compte 648 est réparti selon le cas entre "salaires et traitement" et "charges sociales"</t>
        </r>
      </text>
    </comment>
    <comment ref="H201" authorId="0">
      <text>
        <r>
          <rPr>
            <sz val="10"/>
            <rFont val="Arial"/>
            <family val="2"/>
          </rPr>
          <t>75 (sauf 755)</t>
        </r>
      </text>
    </comment>
    <comment ref="H206" authorId="0">
      <text>
        <r>
          <rPr>
            <sz val="10"/>
            <rFont val="Arial"/>
            <family val="2"/>
          </rPr>
          <t>65 (sauf 655)</t>
        </r>
      </text>
    </comment>
  </commentList>
</comments>
</file>

<file path=xl/sharedStrings.xml><?xml version="1.0" encoding="utf-8"?>
<sst xmlns="http://schemas.openxmlformats.org/spreadsheetml/2006/main" count="2472" uniqueCount="2117">
  <si>
    <t>Comptes du PCG</t>
  </si>
  <si>
    <t>Brut</t>
  </si>
  <si>
    <t>Immobilisations</t>
  </si>
  <si>
    <t>Incorporelles</t>
  </si>
  <si>
    <t>Frais d'établissement</t>
  </si>
  <si>
    <t>Frais de recherche et de développement</t>
  </si>
  <si>
    <t>Concessions, brevets et droits similaires</t>
  </si>
  <si>
    <t>Fond commercial</t>
  </si>
  <si>
    <t>Fonds commercial</t>
  </si>
  <si>
    <t>Autres immobilisations incorporelles</t>
  </si>
  <si>
    <t>Immobilisations incorporelles en cours</t>
  </si>
  <si>
    <t>Avances et accomptes sur immobilisations incorporelles</t>
  </si>
  <si>
    <t>Corporelle</t>
  </si>
  <si>
    <t>Terrains</t>
  </si>
  <si>
    <t>Constructions</t>
  </si>
  <si>
    <t>ITMOI</t>
  </si>
  <si>
    <t>Autres immobilisations corporelles</t>
  </si>
  <si>
    <t>Immobilisations corporelles en cours</t>
  </si>
  <si>
    <t>Avances et accomptes sur immobilisations corporelles</t>
  </si>
  <si>
    <t>Financière</t>
  </si>
  <si>
    <t>Participations</t>
  </si>
  <si>
    <t>Créances rattachées à des participations</t>
  </si>
  <si>
    <t>TIAP</t>
  </si>
  <si>
    <t>Autres titres immobilisés</t>
  </si>
  <si>
    <t>Prêts</t>
  </si>
  <si>
    <t>Autres</t>
  </si>
  <si>
    <t>Créances diverses</t>
  </si>
  <si>
    <t>Actif circulant</t>
  </si>
  <si>
    <t>Stocks</t>
  </si>
  <si>
    <t>Matières premières, approvisionnements</t>
  </si>
  <si>
    <t>En cours de production de biens</t>
  </si>
  <si>
    <t>En cours de production de service</t>
  </si>
  <si>
    <t>Produits intermédiaires et finis</t>
  </si>
  <si>
    <t>Marchandises</t>
  </si>
  <si>
    <t>Fournisseurs - Avances et accomptes versés sur commandes</t>
  </si>
  <si>
    <t>Clients et comptes rattachés</t>
  </si>
  <si>
    <t>Clients douteux ou litigieux</t>
  </si>
  <si>
    <t>Capital suscrit et appelé, non versé</t>
  </si>
  <si>
    <t>Divers</t>
  </si>
  <si>
    <t>VMP</t>
  </si>
  <si>
    <t>Instruments de trésorerie</t>
  </si>
  <si>
    <t>Disponibilités</t>
  </si>
  <si>
    <t>Comptes de 
régularisation</t>
  </si>
  <si>
    <t>Postes de la liasse fiscale</t>
  </si>
  <si>
    <t>Prime d'émission, de fusion, d'apport,…</t>
  </si>
  <si>
    <t>Ecart de réévaluation (2)</t>
  </si>
  <si>
    <t>Réserve légale (3)</t>
  </si>
  <si>
    <t>Réserve statutaire ou contractuelles</t>
  </si>
  <si>
    <t>Réserve réglementées</t>
  </si>
  <si>
    <t>Autres réserves</t>
  </si>
  <si>
    <t>Report à nouveau</t>
  </si>
  <si>
    <t>Résultat de l'exercice (bénéfice ou perte)</t>
  </si>
  <si>
    <t>Subventions d'investissement</t>
  </si>
  <si>
    <t>Provision réglementées</t>
  </si>
  <si>
    <t>Autres fonds 
propres</t>
  </si>
  <si>
    <t>Produit des émissions de titres participatifs</t>
  </si>
  <si>
    <t>Avances conditionnées de l'état</t>
  </si>
  <si>
    <t>Autres : emprunts participatifs</t>
  </si>
  <si>
    <t>Provisions 
pour risques
et charges</t>
  </si>
  <si>
    <t>Provisions pour risques</t>
  </si>
  <si>
    <t>Provisions pour charges</t>
  </si>
  <si>
    <t>Emprunts obligataires convertibles</t>
  </si>
  <si>
    <t>Autres emprunts obligataires</t>
  </si>
  <si>
    <t>Emprunts et dettes financières divers (dont emprunt participatifs)</t>
  </si>
  <si>
    <t>Avances et accomptes reçus sur commandes en cours</t>
  </si>
  <si>
    <t>Dettes fournisseurs et comptes rattachés</t>
  </si>
  <si>
    <t>Obligations cautionnées</t>
  </si>
  <si>
    <t>Autres impôts, taxes et versements assimilés</t>
  </si>
  <si>
    <t>Dettes sur immobilisations et comptes rattachés</t>
  </si>
  <si>
    <t>Renvois</t>
  </si>
  <si>
    <t>(1) Ecart de réévaluation incorporé au capital</t>
  </si>
  <si>
    <t>(2) Dont réserves spéciales de réévaluation (1959)</t>
  </si>
  <si>
    <t>(2) Dont écart de réévaluation libre</t>
  </si>
  <si>
    <t>(2) Dont réserve de réévaluation (1976)</t>
  </si>
  <si>
    <t>(3) Dont réserve spéciale des plus-values à long terme</t>
  </si>
  <si>
    <t>(4) Dettes et produits constatés d'avance à moins d'un an</t>
  </si>
  <si>
    <t>(5) Dont concours bancaires courants, et soldes créditeurs de banques et CCP</t>
  </si>
  <si>
    <t>Produits 
d'exploitation</t>
  </si>
  <si>
    <t>Vente de marchandises</t>
  </si>
  <si>
    <t>Production stockée (ou déstockage) ==&gt; SF - SI</t>
  </si>
  <si>
    <t>Production immobilisée</t>
  </si>
  <si>
    <t>Subvention d'exploitation</t>
  </si>
  <si>
    <t>RADP, transfert de charges (9)</t>
  </si>
  <si>
    <t>Transfert de charges d'exploitation</t>
  </si>
  <si>
    <t>Autres produits (1) (11)</t>
  </si>
  <si>
    <t>Charges 
d'exploitation</t>
  </si>
  <si>
    <t>Achat de marchandises</t>
  </si>
  <si>
    <t>Achat stockés de matière première et approvisionnements</t>
  </si>
  <si>
    <t>Autres achats et charges externes (3) (6 bis)</t>
  </si>
  <si>
    <t>Impôts, taxes et versements assimilés (ITVA)</t>
  </si>
  <si>
    <t>Salaires et traitements (avec charges sociales salariales)</t>
  </si>
  <si>
    <t>Charges sociales (patronales)  (10)</t>
  </si>
  <si>
    <t>DADP - Immobilisation - Amortissements</t>
  </si>
  <si>
    <t>DADP - Immobilisation - Dépréciations</t>
  </si>
  <si>
    <t>DADP - Actifs circulants - Dépréciations</t>
  </si>
  <si>
    <t>DADP - Risques et charges - Provisions</t>
  </si>
  <si>
    <t>Autres charges  (12)</t>
  </si>
  <si>
    <t>Opérations 
en commun</t>
  </si>
  <si>
    <t>Produits 
financiers</t>
  </si>
  <si>
    <t>Produits financiers de participations  (5)</t>
  </si>
  <si>
    <t>Produits des autres valeurs mobilières et créances de l'actif immobilisé (5)</t>
  </si>
  <si>
    <t>Autres intérêts et produits assimilés (5)</t>
  </si>
  <si>
    <t>Escomptes obtenus</t>
  </si>
  <si>
    <t>Différence positive de change (Gain de change)</t>
  </si>
  <si>
    <t>Produits nets sur cessions de VMP</t>
  </si>
  <si>
    <t>Charges 
financières</t>
  </si>
  <si>
    <t>Intérêts et charges assimilées (6)</t>
  </si>
  <si>
    <t>Escomptes accordés</t>
  </si>
  <si>
    <t>Différence négative de change (perte de change)</t>
  </si>
  <si>
    <t>Charges nettes sur cessions de VMP</t>
  </si>
  <si>
    <t>Produits 
exceptionnels</t>
  </si>
  <si>
    <t>Produits exceptionnels sur opérations de gestion</t>
  </si>
  <si>
    <t>Produits exceptionnels sur opérations en capital  (dont PCEA)</t>
  </si>
  <si>
    <t>RDP, transfert de charges</t>
  </si>
  <si>
    <t>Charges 
exceptionnelles</t>
  </si>
  <si>
    <t>Charges exceptionnelles sur opérations de gestion (6 bis)</t>
  </si>
  <si>
    <t>Charges exceptionnelles sur opérations en capital (dont VCEAC)</t>
  </si>
  <si>
    <t>Renvois</t>
  </si>
  <si>
    <t>Postes de la liasse fiscale</t>
  </si>
  <si>
    <t>Comptes du PCG</t>
  </si>
  <si>
    <t>Commentaires</t>
  </si>
  <si>
    <t>Ventes de marchandices</t>
  </si>
  <si>
    <t>Vente de marchandices (FC)</t>
  </si>
  <si>
    <t>707 ; -7097 ;
708 (en partie)  -7098 ;</t>
  </si>
  <si>
    <t>- Achats de marchandises</t>
  </si>
  <si>
    <t>Achats de marchandises (FS)</t>
  </si>
  <si>
    <t>607 - 6097 ; 
6087</t>
  </si>
  <si>
    <t>Variation de stock de marchandises (FT)</t>
  </si>
  <si>
    <t>Production vendus de biens et services</t>
  </si>
  <si>
    <t>Production vendue de biens et services (FF + FI)</t>
  </si>
  <si>
    <t>701 à 706 
- (7091 à 7096) ; 
708 (en partie) -7098</t>
  </si>
  <si>
    <t>+ Production immobilisée</t>
  </si>
  <si>
    <t>Production immobilisée (FN)</t>
  </si>
  <si>
    <t>+ Variation de stock de production</t>
  </si>
  <si>
    <t>Production stockée (FM)</t>
  </si>
  <si>
    <t>Production stockée ou déstockage
Stock Final - Stock Initial</t>
  </si>
  <si>
    <t>Marge commerciale + Production de l'exercice</t>
  </si>
  <si>
    <t>Soldes calculés précédement</t>
  </si>
  <si>
    <t>Achats de matières 1ère et approvisionnements</t>
  </si>
  <si>
    <t>Achats de matières 1ère et approvisionnements (FU)</t>
  </si>
  <si>
    <t>+ Variation de stock de matière 1ère et approvisionnements</t>
  </si>
  <si>
    <t>Variation de stock de matière 1ère et approvisionnements (FV)</t>
  </si>
  <si>
    <t>6031 ; 6032</t>
  </si>
  <si>
    <t>+ Autres achats et charges externes</t>
  </si>
  <si>
    <t>Autres achats et charges externes (FW)</t>
  </si>
  <si>
    <t>- Consommation de l'exercice en provenance de tiers</t>
  </si>
  <si>
    <t>+ Subventions d'exploitation</t>
  </si>
  <si>
    <t>Subventions d'exploitation (FO)</t>
  </si>
  <si>
    <t>- I.T.V.A</t>
  </si>
  <si>
    <t>I.T.V.A (FX)</t>
  </si>
  <si>
    <t>Salaires et traitement</t>
  </si>
  <si>
    <t>Salaires et traitement (FY)</t>
  </si>
  <si>
    <t>641 ; 644 ; 648</t>
  </si>
  <si>
    <t>Charges sociales</t>
  </si>
  <si>
    <t>Charges sociales (FZ)</t>
  </si>
  <si>
    <t>645 ; 646 ; 647 ; 648</t>
  </si>
  <si>
    <t>- Charges de personnel</t>
  </si>
  <si>
    <t>+ R.A.D.P et transfert de charges d'exploitation</t>
  </si>
  <si>
    <t>R.A.D.P et transfert de charges d'exploitation (FP)</t>
  </si>
  <si>
    <t>781 ; 791</t>
  </si>
  <si>
    <t>- D.A.D.P d'exploitation</t>
  </si>
  <si>
    <t>D.A.D.P d'exploitation (GA + GB +GC +GD)</t>
  </si>
  <si>
    <t>+ Autres produits</t>
  </si>
  <si>
    <t>Autres produits (FQ)</t>
  </si>
  <si>
    <t>751 ; 752 ; 753 ; 
754 ; 758 ;</t>
  </si>
  <si>
    <t>- Autres charges</t>
  </si>
  <si>
    <t>Autres charges (GE)</t>
  </si>
  <si>
    <t>651 ; 653 ; 
654 ; 658</t>
  </si>
  <si>
    <t>Résultat d'exploitation (GG)</t>
  </si>
  <si>
    <t>+ Bénéfice attribué ou perte transférée</t>
  </si>
  <si>
    <t>Bénéfice attribué ou perte transférée (GH)</t>
  </si>
  <si>
    <t>- Perte supportée ou bénéfice transféré</t>
  </si>
  <si>
    <t>Perte supportée ou bénéfice transféré (GI)</t>
  </si>
  <si>
    <t>+ Produits financiers</t>
  </si>
  <si>
    <t>Produits financiers (GP)</t>
  </si>
  <si>
    <t>76 ; 786 ; 796</t>
  </si>
  <si>
    <t>- Charges financières</t>
  </si>
  <si>
    <t>Charges financières (GU)</t>
  </si>
  <si>
    <t>66 ; 686</t>
  </si>
  <si>
    <t>Résultat Courant Avant Impôts (GW)</t>
  </si>
  <si>
    <t>Produits exceptionnels (HD)</t>
  </si>
  <si>
    <t>77 ; 787 ; 797</t>
  </si>
  <si>
    <t>- Charges exceptionnelles</t>
  </si>
  <si>
    <t>Charges exceptionnelles (HH)</t>
  </si>
  <si>
    <t>67 ; 687</t>
  </si>
  <si>
    <t>Résultat exceptionnel (HI)</t>
  </si>
  <si>
    <t>- Participation des salariées</t>
  </si>
  <si>
    <t>Participation des salariées (HJ)</t>
  </si>
  <si>
    <t>- Impôts sur les bénéfices</t>
  </si>
  <si>
    <t>Impôts sur les bénéfices (HK)</t>
  </si>
  <si>
    <t>69 (sauf 691)</t>
  </si>
  <si>
    <t>Résultat Net (HN)</t>
  </si>
  <si>
    <t>P.C.E.A</t>
  </si>
  <si>
    <t>Renvoi (7)</t>
  </si>
  <si>
    <t>- V.C.E.A.C</t>
  </si>
  <si>
    <t>Renvoi (7)</t>
  </si>
  <si>
    <t>Remarques</t>
  </si>
  <si>
    <t>Soldes d'exploitation</t>
  </si>
  <si>
    <t>Vente de marchandises</t>
  </si>
  <si>
    <t>Ventes de marchandises (FC)</t>
  </si>
  <si>
    <t>707 - 7097</t>
  </si>
  <si>
    <t>=</t>
  </si>
  <si>
    <t>Marge commerciale (a)</t>
  </si>
  <si>
    <t>Identiques à celle du PCG</t>
  </si>
  <si>
    <t>Production vendue</t>
  </si>
  <si>
    <t>Production vendue de biens (FF) 
Production vendue de services (FI)</t>
  </si>
  <si>
    <t>(701 à 706) 
- (7091 à 7096)
+ (708 - 7098)</t>
  </si>
  <si>
    <t>+ Production stockée (ou déstockage)</t>
  </si>
  <si>
    <t>Production stockée (FM)</t>
  </si>
  <si>
    <t>+ Production immobilisée</t>
  </si>
  <si>
    <t>Production immobilisée (FN)</t>
  </si>
  <si>
    <t>=</t>
  </si>
  <si>
    <t>Production de l'exercice</t>
  </si>
  <si>
    <t>Identiques à celle du PCG</t>
  </si>
  <si>
    <t>Achats d'études et prestations de services</t>
  </si>
  <si>
    <t>Dans certains cas on ne prend que ces comptes ou on ajoute 611 et 619</t>
  </si>
  <si>
    <t>Frais accessoires sur achats d'études et prestations de services</t>
  </si>
  <si>
    <t>RRRO sur achats d'études et prestations de services</t>
  </si>
  <si>
    <t>Achats de matériel, équipements et travaux</t>
  </si>
  <si>
    <t>Frais accessoires sur achats de matériel, équipements et travaux</t>
  </si>
  <si>
    <t>RRRO sur achats de matériel, équipements et travaux</t>
  </si>
  <si>
    <t>Sous-traitace générale</t>
  </si>
  <si>
    <t>Dans d'autres cas on ne prend que ces comptes ou on ajoute 604 ; 605 ; 6084 ; 6085 ; 6094 ; 6095</t>
  </si>
  <si>
    <t>RRRO sur services extérieures</t>
  </si>
  <si>
    <t>- Sous traitance de fabrication</t>
  </si>
  <si>
    <t>Tout ou partie du poste : 
"Autres achats et charges externes" (FW)</t>
  </si>
  <si>
    <t>604 + 605 
+ 6084 + 6085 
- 6094 - 6095
(ou 611 - 619)</t>
  </si>
  <si>
    <t>inclus dans le poste 
"Autres achats et charges externes" du CR</t>
  </si>
  <si>
    <t>=</t>
  </si>
  <si>
    <t>Production propre</t>
  </si>
  <si>
    <t>Achats stockés - Matières 1ères et fournitures</t>
  </si>
  <si>
    <t>Achat de matières 1ères et appro (FU)</t>
  </si>
  <si>
    <t>Achats stockés - Autres approvisionnements</t>
  </si>
  <si>
    <t>Frais accessoires sur achats de matières 1ères</t>
  </si>
  <si>
    <t>Frais accessoires sur achat d'autres approvisionnements</t>
  </si>
  <si>
    <t>RRRO sur achats de matières 1ères et fournitures</t>
  </si>
  <si>
    <t>RRRO sur achats d'autres approvisionnements</t>
  </si>
  <si>
    <t>Variation de stocks de matières 1ères et fournitures</t>
  </si>
  <si>
    <t>Variation de stock de matières 1ères et appro (FV)</t>
  </si>
  <si>
    <t>Variation de stocks d'autres approvisionnements</t>
  </si>
  <si>
    <t>- Coût des matières consommées</t>
  </si>
  <si>
    <t>Achat de matières 1ères et appro (FU) 
Variation de stock de matières 1ères et appro (FV)</t>
  </si>
  <si>
    <t>601 + 602 
+ 6081 + 6082 
+ 6031 + 6032 
- 6091 - 6092</t>
  </si>
  <si>
    <t>Correspond à la somme des postes suivants du CR 
 * Achat de matières 1ères et autres approvisionnements
* Variations de stocks et autres approvisionnements</t>
  </si>
  <si>
    <t>=</t>
  </si>
  <si>
    <t>Marge sur coût de production propre (b)</t>
  </si>
  <si>
    <t>Cette marge permet de faire apparaître l'exédent des ventes effectués par l'entreprise sur les consommations propres de matières et autres approvisionnements</t>
  </si>
  <si>
    <t>Marge commerciale (a)</t>
  </si>
  <si>
    <t>Déjà calculée</t>
  </si>
  <si>
    <t>+ Marge sur coût de production propre (b)</t>
  </si>
  <si>
    <t>Déjà calculée</t>
  </si>
  <si>
    <t>Marge brute d'exploitation (a) + (b)</t>
  </si>
  <si>
    <t>Cette marge permet de faire apparaître l'exédent des ventes de marchandises, de biens et de services sur les consommations de marchandises, de matière et autres approvisionnement</t>
  </si>
  <si>
    <t>Achats d'études et prestations de services</t>
  </si>
  <si>
    <t>RRRO sur achats d'études et prestations de services</t>
  </si>
  <si>
    <t>-6094</t>
  </si>
  <si>
    <t>Achats de matériel, équipements et travaux</t>
  </si>
  <si>
    <t>RRRO sur achats de matériel, équipements et travaux</t>
  </si>
  <si>
    <t>-6095</t>
  </si>
  <si>
    <t>Achats non stockés de matières et fournitures</t>
  </si>
  <si>
    <t>RRRO sur achats non stockés de matières et fournitures</t>
  </si>
  <si>
    <t>-6096</t>
  </si>
  <si>
    <t>Services extérieurs</t>
  </si>
  <si>
    <t>RRRO sur services extérieurs</t>
  </si>
  <si>
    <t>-619</t>
  </si>
  <si>
    <t>Autres services extérieurs</t>
  </si>
  <si>
    <t>RRRO sur autres services extérieurs</t>
  </si>
  <si>
    <t>-629</t>
  </si>
  <si>
    <t>Frais accessoires d'achat</t>
  </si>
  <si>
    <t>Autres achats et charges externes</t>
  </si>
  <si>
    <t>Autres achats et charges externes (FW)</t>
  </si>
  <si>
    <t>604 + 6084 - 6094 ; 
605 + 6085 - 6095 ; 
606 + 6086 - 6096 ; 
61 - 619 ; 
62 - 629 ;</t>
  </si>
  <si>
    <t>Achats d'études et prestations de services</t>
  </si>
  <si>
    <t>Dans certains cas on ne prend que ces comptes</t>
  </si>
  <si>
    <t>Frais accessoires sur achats d'études et prestations de services</t>
  </si>
  <si>
    <t>RRRO sur achats d'études et prestations de services</t>
  </si>
  <si>
    <t>Achats de matériel, équipements et travaux</t>
  </si>
  <si>
    <t>Frais accessoires sur achats de matériel, équipements et travaux</t>
  </si>
  <si>
    <t>RRRO sur achats de matériel, équipements et travaux</t>
  </si>
  <si>
    <t>Sous-traitace générale</t>
  </si>
  <si>
    <t>Dans d'autres cas on ne prend que ces comptes</t>
  </si>
  <si>
    <t>RRRO sur services extérieures</t>
  </si>
  <si>
    <t>- Sous-traitance de fabrication</t>
  </si>
  <si>
    <t>- Annuité de crédit bail enregistrées en N</t>
  </si>
  <si>
    <t>Partie du poste "Autres achats et charges externes" (FW)</t>
  </si>
  <si>
    <t>Partie du poste "Autres achats et charges externes" (FW)</t>
  </si>
  <si>
    <t>- Achat et charges externes</t>
  </si>
  <si>
    <t>+ Subventions d'exploitation reçues en complément de prix</t>
  </si>
  <si>
    <t>Ce poste correspond à tout ou partie du compte 
74 (subvention d'exploitation)</t>
  </si>
  <si>
    <t>=</t>
  </si>
  <si>
    <t>Valeur ajoutée "Centrale des Bilans"</t>
  </si>
  <si>
    <t>Ce poste correspond à tout ou partie du compte 
74 (subvention d'exploitation)</t>
  </si>
  <si>
    <t>Redevances pour concessions, brevets, licences, marques, 
procédés, logiciels, droits et valeurs similaires</t>
  </si>
  <si>
    <t>Revenus des immeules non affectés aux activités professionnelles</t>
  </si>
  <si>
    <t>Jetons de présence et rémunération d'administrateurs, gérants</t>
  </si>
  <si>
    <t>Ristournes perçues des coopératives (provenant des exédents)</t>
  </si>
  <si>
    <t>Produits divers de gestion courantes</t>
  </si>
  <si>
    <t>+ Autres produits de gestion courante</t>
  </si>
  <si>
    <t>Autres produits (FQ)</t>
  </si>
  <si>
    <t>Redevances pour concessions, brevets, licences, marques, 
procédés, logiciels, droits et valeurs similaires</t>
  </si>
  <si>
    <t>Jetons de présence</t>
  </si>
  <si>
    <t>Pertes sur créances irrécouvrables</t>
  </si>
  <si>
    <t>Charges diverses de gestion courantes</t>
  </si>
  <si>
    <t>- Autres charges de gestion courantes</t>
  </si>
  <si>
    <t>Autres charges (GE)</t>
  </si>
  <si>
    <t>+ Excomptes obtenus</t>
  </si>
  <si>
    <t>partie du poste "Autres intérêts et produits assimilés" (GL)</t>
  </si>
  <si>
    <t>- Escompte accordé</t>
  </si>
  <si>
    <t>Partie du poste "Intérêts et charges assimilés" (GR)</t>
  </si>
  <si>
    <t>+ Autres produits et autres charges d'exploitation</t>
  </si>
  <si>
    <t>- Impôts, taxes et versement assimilés</t>
  </si>
  <si>
    <t>ITVA (FX)</t>
  </si>
  <si>
    <t>Rémunération du personnel</t>
  </si>
  <si>
    <t>Rémunération du travail de l'exploitant</t>
  </si>
  <si>
    <t>Autres charges de personnel</t>
  </si>
  <si>
    <t>Salaire et traitement</t>
  </si>
  <si>
    <t>poste "Salaires et traitement" (FY)</t>
  </si>
  <si>
    <t>641 ; 644 ; 
648</t>
  </si>
  <si>
    <t>Ce sont les salaires bruts 
= salaires nets + charges sociales salariales</t>
  </si>
  <si>
    <t>Charges de sécurité sociale et prévoyances</t>
  </si>
  <si>
    <t>Cotisations sociales personnelles de l'exploitan</t>
  </si>
  <si>
    <t>Autres charges sociales</t>
  </si>
  <si>
    <t>Autres charges de personnel</t>
  </si>
  <si>
    <t>+ Charges sociales</t>
  </si>
  <si>
    <t>poste "Charges sociales" (FZ)</t>
  </si>
  <si>
    <t>645 ; 646 ; 
647 ; 648</t>
  </si>
  <si>
    <t>Ce sont les charges sociales patronales</t>
  </si>
  <si>
    <t>+ Charges de personnel extérieurs</t>
  </si>
  <si>
    <t>Partie du poste "Autres achats et charges externes" (FW)</t>
  </si>
  <si>
    <t>- Charges de personnel</t>
  </si>
  <si>
    <t>Ne pas oublier d'ajouter la charge de personnel extérieur</t>
  </si>
  <si>
    <t>=</t>
  </si>
  <si>
    <t>Résultat Brut d'Exploitation</t>
  </si>
  <si>
    <t>Transfert de charges pour les frais d'émission d'emprunt à étaler</t>
  </si>
  <si>
    <t>Transfert de charges suite à un sinistre sur une immobilisation</t>
  </si>
  <si>
    <t>Transfert de charges suite à un sinistre sur stock</t>
  </si>
  <si>
    <t>Transfert de charges pour avantages en nature</t>
  </si>
  <si>
    <t>+ Transfert de charges d'exploitation</t>
  </si>
  <si>
    <t>partie du poste "RADP, transfert de charges" (FP)</t>
  </si>
  <si>
    <t>Il s'agit de la totalité du compte 791</t>
  </si>
  <si>
    <t>DADP d'exploitation</t>
  </si>
  <si>
    <t>postes DADP d'exploitation (GA + GB + GC + GD)</t>
  </si>
  <si>
    <t>- RADP d'exploitation</t>
  </si>
  <si>
    <t>tout ou partie du poste "RADP, transfert de charges" (FP)</t>
  </si>
  <si>
    <t>+ Part d'amortissement incluse dans le crédit bail</t>
  </si>
  <si>
    <t>Partie du poste "Autres achats et charges externes" (FW)</t>
  </si>
  <si>
    <t>partie de 612</t>
  </si>
  <si>
    <t>- Dotations nettes aux ADP d'exploitation</t>
  </si>
  <si>
    <t>781 - 681 
- partie de 612</t>
  </si>
  <si>
    <t>=</t>
  </si>
  <si>
    <t>Résultat Net d'Exploitation</t>
  </si>
  <si>
    <t>Résultat Brut d'Exploitation</t>
  </si>
  <si>
    <t>Bénéfice attribué ou perte transférée</t>
  </si>
  <si>
    <t>poste "Bénéfice attribué ou perte transférée " (GH)</t>
  </si>
  <si>
    <t>- Perte supportée ou bénéfice transféré</t>
  </si>
  <si>
    <t>poste "Perte supportée ou bénéfice transféré" (GI)</t>
  </si>
  <si>
    <t>+ Quote-parts de résultat sur opérations faites en commun</t>
  </si>
  <si>
    <t>Résultat financier du compte de résultat</t>
  </si>
  <si>
    <t>poste "Résultat financier" (GV)</t>
  </si>
  <si>
    <t>76 + 786 + 786 
- 66 - 686</t>
  </si>
  <si>
    <t>+ DADP financières</t>
  </si>
  <si>
    <t>poste "DADP financières" (GQ)</t>
  </si>
  <si>
    <t>- RADP et transfert de charges financières</t>
  </si>
  <si>
    <t>poste "RADP, transfert de charges financières" (GM)</t>
  </si>
  <si>
    <t>786 + 796</t>
  </si>
  <si>
    <t>Charges d'intérêts</t>
  </si>
  <si>
    <t>+ Pertes sur créances liées à des participations</t>
  </si>
  <si>
    <t>+ Escomptes accordés</t>
  </si>
  <si>
    <t>+ Autres charges financières</t>
  </si>
  <si>
    <t>+ Intérêts et charges assimilés</t>
  </si>
  <si>
    <t>poste "Intérêts et charges assimilées" (GR)</t>
  </si>
  <si>
    <t>661 ; 664 ; 
665 ; 668</t>
  </si>
  <si>
    <t>- Escomptes obtenus</t>
  </si>
  <si>
    <t>partie du poste "Autres intérêts et produits assimilés" (GL)</t>
  </si>
  <si>
    <t>+ Opérations financières hors intérêts</t>
  </si>
  <si>
    <t>Résultat exceptionnel du compte de résultat</t>
  </si>
  <si>
    <t>poste "Résultat exceptionnel" (HI)</t>
  </si>
  <si>
    <t>77 + 787 + 797 
- 67 - 687</t>
  </si>
  <si>
    <t>+ DADP exceptionnelles</t>
  </si>
  <si>
    <t>poste "DADP exceptionnelles" (HG)</t>
  </si>
  <si>
    <t>- RADP et transfert de charges exceptionnelles</t>
  </si>
  <si>
    <t>poste "RADP, transfert de charges exceptionnelles" (HC)</t>
  </si>
  <si>
    <t>787 + 797</t>
  </si>
  <si>
    <t>+ V.C.E.A.C</t>
  </si>
  <si>
    <t>partie du poste "Char excep sur opérations en capital" (HF)</t>
  </si>
  <si>
    <t>- P.C.E.A</t>
  </si>
  <si>
    <t>partie du poste "Prod excep sur opérations en capital" (HB)</t>
  </si>
  <si>
    <t>- Quote part des subventions virées au compte de résultat</t>
  </si>
  <si>
    <t>partie du poste "Prod excep sur opérations en capital" (HB)</t>
  </si>
  <si>
    <t>+ Opérations exceptionnelles</t>
  </si>
  <si>
    <t>791 ; 796 ; 797</t>
  </si>
  <si>
    <t>=</t>
  </si>
  <si>
    <t>Résultat Brut Global</t>
  </si>
  <si>
    <t>DADP d'exploitation</t>
  </si>
  <si>
    <t>+ DADP financières</t>
  </si>
  <si>
    <t>+ DADP exceptionnelles</t>
  </si>
  <si>
    <t>+ Part d'amortissement dans l'annuité de crédit bail</t>
  </si>
  <si>
    <t>Partie du poste "Autres achats et charges externes" (FW)</t>
  </si>
  <si>
    <t>partie de 612</t>
  </si>
  <si>
    <t>- RADP d'exploitation</t>
  </si>
  <si>
    <t>- RADP financières</t>
  </si>
  <si>
    <t>- RADP exceptionnelles</t>
  </si>
  <si>
    <t>- Dotations nettes aux ADP</t>
  </si>
  <si>
    <t>+ Subventions d'investissement virées au résultat de l'exercice</t>
  </si>
  <si>
    <t>partie du poste "Prod excep sur opérations en capital" (HB)</t>
  </si>
  <si>
    <t>partie du poste "RADP, transfert de charges d'exploit" (FP)</t>
  </si>
  <si>
    <t>tout ou partie 
de 791</t>
  </si>
  <si>
    <t>=</t>
  </si>
  <si>
    <t>Résultat Net Global</t>
  </si>
  <si>
    <t>Intérêts et charges assimilés</t>
  </si>
  <si>
    <t>poste "Intérêts et charges assimilés" (GR)</t>
  </si>
  <si>
    <t>661 ; 664 ; 
665 ; 668</t>
  </si>
  <si>
    <t>- Escompte accordé</t>
  </si>
  <si>
    <t>partie du poste "Intérêts et charges assimilés" (GR)</t>
  </si>
  <si>
    <t>+ Part des frais financiers dans l'annuité de crédit bail</t>
  </si>
  <si>
    <t>Partie du poste "Autres achats et charges externes" (FW)</t>
  </si>
  <si>
    <t>partie de 612</t>
  </si>
  <si>
    <t>- Charges d'intérêt</t>
  </si>
  <si>
    <t>- Participation des salariés</t>
  </si>
  <si>
    <t>poste "participation des salariés" (HJ)</t>
  </si>
  <si>
    <t>- Impôt sur les bénéfices</t>
  </si>
  <si>
    <t>poste "Impôts sur les bénéfices" (HK)</t>
  </si>
  <si>
    <t>69 (sauf 691)</t>
  </si>
  <si>
    <t>=</t>
  </si>
  <si>
    <t>Résultat de l'exercice (hors + ou - values)</t>
  </si>
  <si>
    <t>P.C.E.A</t>
  </si>
  <si>
    <t>partie du poste "Prod excep sur opérations en capital" (HB)</t>
  </si>
  <si>
    <t>- V.C.E.A.C</t>
  </si>
  <si>
    <t>partie du poste "Char excep sur opérations en capital" (HF)</t>
  </si>
  <si>
    <t>+ Plus ou moins values de cession ou d'apports</t>
  </si>
  <si>
    <t>=</t>
  </si>
  <si>
    <t>Résultat Net Comptble</t>
  </si>
  <si>
    <t>poste "Bénéfice ou perte" (HN)</t>
  </si>
  <si>
    <t>Il s'agit du même résultat qui apparaît dans le CR</t>
  </si>
  <si>
    <t>Valeur ajoutée "Centrale des Bilans"</t>
  </si>
  <si>
    <t>Calculée dans la partie des soldes d'exploitation</t>
  </si>
  <si>
    <t>Ce poste correspond à tout ou partie du compte 
74 (subvention d'exploitation)</t>
  </si>
  <si>
    <t>Redevances pour concessions, brevets, licences, marques, 
procédés, logiciels, droits et valeurs similaires</t>
  </si>
  <si>
    <t>Revenus des immeules non affectés aux activités professionnelles</t>
  </si>
  <si>
    <t>Jetons de présence et rémunération d'administrateurs, gérants</t>
  </si>
  <si>
    <t>Ristournes perçues des coopératives (provenant des exédents)</t>
  </si>
  <si>
    <t>Produits divers de gestion courantes</t>
  </si>
  <si>
    <t>+ Autres produits de gestion courante</t>
  </si>
  <si>
    <t>Autres produits (FQ)</t>
  </si>
  <si>
    <t>Redevances pour concessions, brevets, licences, marques, 
procédés, logiciels, droits et valeurs similaires</t>
  </si>
  <si>
    <t>Jetons de présence</t>
  </si>
  <si>
    <t>Pertes sur créances irrécouvrables</t>
  </si>
  <si>
    <t>Charges diverses de gestion courantes</t>
  </si>
  <si>
    <t>- Autres charges de gestion courantes</t>
  </si>
  <si>
    <t>Autres charges (GE)</t>
  </si>
  <si>
    <t>+ Excomptes obtenus</t>
  </si>
  <si>
    <t>partie du poste "Autres intérêts et produits assimilés" (GL)</t>
  </si>
  <si>
    <t>- Escompte accordé</t>
  </si>
  <si>
    <t>Partie du poste "Intérêts et charges assimilés" (GR)</t>
  </si>
  <si>
    <t>Bénéfice attribué ou perte transférée</t>
  </si>
  <si>
    <t>poste "Bénéfice attribué ou perte transférée " (GH)</t>
  </si>
  <si>
    <t>- Perte supportée ou bénéfice transféré</t>
  </si>
  <si>
    <t>poste "Perte supportée ou bénéfice transféré" (GI)</t>
  </si>
  <si>
    <t>Quote-parts de résultat sur opérations faites en commun</t>
  </si>
  <si>
    <t>Résultat financier du compte de résultat</t>
  </si>
  <si>
    <t>poste "Résultat financier" (GV)</t>
  </si>
  <si>
    <t>76 + 786 + 786 
- 66 - 686</t>
  </si>
  <si>
    <t>+ DADP financières</t>
  </si>
  <si>
    <t>poste "DADP financières" (GQ)</t>
  </si>
  <si>
    <t>- RADP et transfert de charges financières</t>
  </si>
  <si>
    <t>poste "RADP, transfert de charges financières" (GM)</t>
  </si>
  <si>
    <t>786 + 796</t>
  </si>
  <si>
    <t>+ Intérêts et charges assimilés</t>
  </si>
  <si>
    <t>poste "Intérêts et charges assimilées" (GR)</t>
  </si>
  <si>
    <t>661 ; 664 ; 
665 ; 668</t>
  </si>
  <si>
    <t>- Escomptes obtenus</t>
  </si>
  <si>
    <t>partie du poste "Autres intérêts et produits assimilés" (GL)</t>
  </si>
  <si>
    <t>+ Opérations financières hors intérêts</t>
  </si>
  <si>
    <t>Résultat exceptionnel du compte de résultat</t>
  </si>
  <si>
    <t>poste "Résultat exceptionnel" (HI)</t>
  </si>
  <si>
    <t>77 + 787 + 797 
- 67 - 687</t>
  </si>
  <si>
    <t>+ DADP exceptionnelles</t>
  </si>
  <si>
    <t>poste "DADP exceptionnelles" (HG)</t>
  </si>
  <si>
    <t>- RADP et transfert de charges exceptionnelles</t>
  </si>
  <si>
    <t>poste "RADP, transfert de charges exceptionnelles" (HC)</t>
  </si>
  <si>
    <t>787 + 797</t>
  </si>
  <si>
    <t>+ V.C.E.A.C</t>
  </si>
  <si>
    <t>partie du poste "Char excep sur opérations en capital" (HF)</t>
  </si>
  <si>
    <t>- P.C.E.A</t>
  </si>
  <si>
    <t>partie du poste "Prod excep sur opérations en capital" (HB)</t>
  </si>
  <si>
    <t>- Quote part des subventions virées au compte de résultat</t>
  </si>
  <si>
    <t>partie du poste "Prod excep sur opérations en capital" (HB)</t>
  </si>
  <si>
    <t>+ Opérations exceptionnelles</t>
  </si>
  <si>
    <t>Transfert de charges pour les frais d'émission d'emprunt à étaler</t>
  </si>
  <si>
    <t>Transfert de charges suite à un sinistre sur une immobilisation</t>
  </si>
  <si>
    <t>Transfert de charges suite à un sinistre sur stock</t>
  </si>
  <si>
    <t>Transfert de charges pour avantages en nature</t>
  </si>
  <si>
    <t>Transfert de charges d'exploitation</t>
  </si>
  <si>
    <t>+ Transfert de charges financières</t>
  </si>
  <si>
    <t>+ Transfert de charges exceptionnelles</t>
  </si>
  <si>
    <t>+ Transfert de charges globaux</t>
  </si>
  <si>
    <t>=</t>
  </si>
  <si>
    <t>Revenus répartis</t>
  </si>
  <si>
    <t>Bénéficiaires 
de la répartition</t>
  </si>
  <si>
    <t>Salaire et traitement</t>
  </si>
  <si>
    <t>+ Charges sociales</t>
  </si>
  <si>
    <t>+ Participation des salariés</t>
  </si>
  <si>
    <t>+ Personnel extérieur à l'entreprise</t>
  </si>
  <si>
    <t>ce poste n'est pas pris en compte dans les SIG du PCG</t>
  </si>
  <si>
    <t>Personnel ==&gt; Charges de personnel</t>
  </si>
  <si>
    <t>I.T.V.A</t>
  </si>
  <si>
    <t>I.B</t>
  </si>
  <si>
    <t>Etat ==&gt; I.T.V.A et IB</t>
  </si>
  <si>
    <t>Intérêts et charges assimilés</t>
  </si>
  <si>
    <t>poste "Intérêts et charges assimilés" (GR)</t>
  </si>
  <si>
    <t>661 ; 664 ; 
665 ; 668</t>
  </si>
  <si>
    <t>- Escompte accordés</t>
  </si>
  <si>
    <t>partie du poste "Intérêts et charges assimilés" (GR)</t>
  </si>
  <si>
    <t>+ Part des frais financiers inclus dans l'annuité de crédit bail</t>
  </si>
  <si>
    <t>Partie du poste "Autres achats et charges externes" (FW)</t>
  </si>
  <si>
    <t>partie de 612</t>
  </si>
  <si>
    <t>Banques ==&gt; Charges d'intérêts et versements assimilés</t>
  </si>
  <si>
    <t>Il s'agit des dividendes distribués en N 
qui viennent du résultat de N-1</t>
  </si>
  <si>
    <t>C.A.F C.D.B</t>
  </si>
  <si>
    <t>- Dividendes distribués</t>
  </si>
  <si>
    <t>Entreprise ==&gt; Autofinancement</t>
  </si>
  <si>
    <t>Calcul des SIG CDB à partir des SIG PCG</t>
  </si>
  <si>
    <t>Postes de la liasse fiscale</t>
  </si>
  <si>
    <t>Comptes du PCG</t>
  </si>
  <si>
    <t>VA P.C.G</t>
  </si>
  <si>
    <t>+ Annuité du crédit bail</t>
  </si>
  <si>
    <t>+ Personnel extérieur</t>
  </si>
  <si>
    <t>+ Subvention d'exploitation reçue en complément de prix de vente</t>
  </si>
  <si>
    <t>= Valeur Ajoutée CDB (VA CDB)</t>
  </si>
  <si>
    <t>E.B.E (ou I.B.E) du P.C.G</t>
  </si>
  <si>
    <t>+ Escomptes obtenus</t>
  </si>
  <si>
    <t>- Escomptes accordés</t>
  </si>
  <si>
    <t>+ Annuité de crédit bail</t>
  </si>
  <si>
    <t>+ Autres produits de gestion courante</t>
  </si>
  <si>
    <t>- Autres charges de gestion courante</t>
  </si>
  <si>
    <t>= Résultat Brut d'Exploitation (R.B.E)</t>
  </si>
  <si>
    <t>Résultat d'exploitation du P.C.G</t>
  </si>
  <si>
    <t>+ Part de frais financiers incluses dans l'annuité de crédit bail</t>
  </si>
  <si>
    <t>+ Escomptes obtenus</t>
  </si>
  <si>
    <t>- Escomptes accordés</t>
  </si>
  <si>
    <t>= Résultat Net d'Exploitation (R.N.E)</t>
  </si>
  <si>
    <t>Postes de la liasse fiscale</t>
  </si>
  <si>
    <t>Comptes du PCG</t>
  </si>
  <si>
    <t>Commentaires</t>
  </si>
  <si>
    <t>Résultat de l'exercice</t>
  </si>
  <si>
    <t>+ DADP d'exploitation</t>
  </si>
  <si>
    <t>DADP d'exploitation (GA + GB + GC + GD)</t>
  </si>
  <si>
    <t>+ DADP financières</t>
  </si>
  <si>
    <t>DADP financières (GQ)</t>
  </si>
  <si>
    <t>+ DADP exceptionnelles</t>
  </si>
  <si>
    <t>DADP exceptionnelles (HG)</t>
  </si>
  <si>
    <t>- RADP d'exploitation</t>
  </si>
  <si>
    <t>partie de "RADP d'exploitation, transfert de charges" (FP)</t>
  </si>
  <si>
    <t>- RADP financières</t>
  </si>
  <si>
    <t>partie de "RADP financières, transfert de charges" (GM)</t>
  </si>
  <si>
    <t>- RADP exceptionnelles</t>
  </si>
  <si>
    <t>partie de "RADP exceptionnelles, transfert de charges" (HC)</t>
  </si>
  <si>
    <t>+ V.C.E.A.C</t>
  </si>
  <si>
    <t>partie de "Charges exceptionnelles sur opérations en capital" (HF)</t>
  </si>
  <si>
    <t>- P.C.E.A</t>
  </si>
  <si>
    <t>partie de "Produits exceptionnels sur opération en capital" (HB)</t>
  </si>
  <si>
    <t>- Subvention d'investissement virée au compte de résultat</t>
  </si>
  <si>
    <t>partie de "Produits exceptionnels sur opération en capital" (HB)</t>
  </si>
  <si>
    <t>= C.A.F du P.C.G</t>
  </si>
  <si>
    <t>Ventes de marchandices</t>
  </si>
  <si>
    <t>FC</t>
  </si>
  <si>
    <t>- Achats de marchandises</t>
  </si>
  <si>
    <t>FS</t>
  </si>
  <si>
    <t>- Variation de stocks des marchandises</t>
  </si>
  <si>
    <t>FT</t>
  </si>
  <si>
    <t>+ Production vendus de biens et services</t>
  </si>
  <si>
    <t>FF + FI</t>
  </si>
  <si>
    <t>+ Production immobilisée</t>
  </si>
  <si>
    <t>FN</t>
  </si>
  <si>
    <t>+ Variation de stock de production</t>
  </si>
  <si>
    <t>FM</t>
  </si>
  <si>
    <t>- Achats de matières 1ère et approvisionnements</t>
  </si>
  <si>
    <t>FU</t>
  </si>
  <si>
    <t>- Variation de stock de matière 1ère et approvisionnements</t>
  </si>
  <si>
    <t>FV</t>
  </si>
  <si>
    <t>- Autres achats et charges externes</t>
  </si>
  <si>
    <t>FW</t>
  </si>
  <si>
    <t>+ Subventions d'exploitation</t>
  </si>
  <si>
    <t>FO</t>
  </si>
  <si>
    <t>- I.T.V.A</t>
  </si>
  <si>
    <t>FX</t>
  </si>
  <si>
    <t>- Salaires et traitement</t>
  </si>
  <si>
    <t>FY</t>
  </si>
  <si>
    <t>- Charges sociales</t>
  </si>
  <si>
    <t>FZ</t>
  </si>
  <si>
    <t>+ Transfert de charges d'exploitation</t>
  </si>
  <si>
    <t>+ Autres produits d'exploitation</t>
  </si>
  <si>
    <t>75 (sauf 755)</t>
  </si>
  <si>
    <t>- Autres charges d'exploitation</t>
  </si>
  <si>
    <t>65 (sauf 655)</t>
  </si>
  <si>
    <t>+ Bénéfices attribué ou perte transférée</t>
  </si>
  <si>
    <t>- Perte supprotée ou bénéfice transféré</t>
  </si>
  <si>
    <t>+ Produits financiers encaissables</t>
  </si>
  <si>
    <t>76 + 796</t>
  </si>
  <si>
    <t>- Charges financières décaissables</t>
  </si>
  <si>
    <t>+ Produits exceptionnels encaissables (sauf investissement)</t>
  </si>
  <si>
    <t>Produits exceptionnels sur opérations de gestion</t>
  </si>
  <si>
    <t>Produits exceptionnels sur opérations de gestion (HA)</t>
  </si>
  <si>
    <t>771 + 772</t>
  </si>
  <si>
    <t>partie de "Produits exceptionnels sur opérations en capital" (HB)</t>
  </si>
  <si>
    <t>Transfert de charges exceptionnelles</t>
  </si>
  <si>
    <t>partie de "RADP exceptionnelles, transfert de charges" (HC)</t>
  </si>
  <si>
    <t>- Charges exceptionnelles décaissables</t>
  </si>
  <si>
    <t>Charges exceptionnelles sur opérations de gestion</t>
  </si>
  <si>
    <t>"Charges exceptionnelles sur opérations de gestion" (HE)</t>
  </si>
  <si>
    <t>671 + 672</t>
  </si>
  <si>
    <t>partie de "Charges exceptionnelles sur opérations en captial" (HF)</t>
  </si>
  <si>
    <t>- Participation des salariés</t>
  </si>
  <si>
    <t>Participation des salariés (HJ)</t>
  </si>
  <si>
    <t>- Impôts sur les bénéfices</t>
  </si>
  <si>
    <t>Impôts sur les bénéfices (HK)</t>
  </si>
  <si>
    <t>69 sauf 691</t>
  </si>
  <si>
    <t>= C.A.F du P.C.G</t>
  </si>
  <si>
    <t>C.A.F du P.C.G</t>
  </si>
  <si>
    <t>+ Part d'amortissement incluse dans l'annuité du crédit bail</t>
  </si>
  <si>
    <t>= C.A.F de la C.D.B de la B.D.F</t>
  </si>
  <si>
    <t>Dividendes distribués</t>
  </si>
  <si>
    <t>+ Autofinancement</t>
  </si>
  <si>
    <t>= C.A.F de la C.D.B de la B.D.F</t>
  </si>
  <si>
    <r>
      <t>Subvention d'exploitation</t>
    </r>
    <r>
      <rPr>
        <b/>
        <sz val="10"/>
        <rFont val="Arial"/>
        <family val="2"/>
      </rPr>
      <t xml:space="preserve"> (hors part reçue en complément de prix)</t>
    </r>
  </si>
  <si>
    <t>ce poste se trouve dans les produits financiers
mais considéré comme exploitation car la CDB considère que c'est économiquement lié à l'exploitation</t>
  </si>
  <si>
    <t>ce poste se trouve dans les charges financières
mais considéré comme exploitation car la CDB considère que c'est économiquement lié à l'exploitation</t>
  </si>
  <si>
    <t>déjà retirées au niveau des achats et charges externes dans la Vleur Ajoutée CDB</t>
  </si>
  <si>
    <t>Déjà calculé dans le 1er tableau des soldes d'exploitation.
Mais peut être calculé à partir du résultat d'exploitation de l'exercice</t>
  </si>
  <si>
    <t>Résultat d'exploitation des SIG du PCG</t>
  </si>
  <si>
    <t>+ Escompte obtenus</t>
  </si>
  <si>
    <t>- RADP et transfert de charges d'exploitation</t>
  </si>
  <si>
    <t>+ Annuité du crédit bail (intérêts et amortissement)</t>
  </si>
  <si>
    <t>Correspond à l'écriture comptable (481 à 791)
cf. liasse fiscale 2055 ==&gt; cadre C ==&gt; ligne "frais d'émission d'emprunt à étaler" ==&gt; colonne "augmentation"</t>
  </si>
  <si>
    <t>attention à ne pas réinclure le poste 791 ici</t>
  </si>
  <si>
    <t>ici on les rajoute pour les annuler du résultat financier</t>
  </si>
  <si>
    <t>ici on les rajoute pour les annuler du résultat exceptionnel</t>
  </si>
  <si>
    <r>
      <t xml:space="preserve">+ Transfert entre comptes de charges </t>
    </r>
    <r>
      <rPr>
        <b/>
        <sz val="10"/>
        <rFont val="Arial"/>
        <family val="2"/>
      </rPr>
      <t>(sauf charges d'emprunt à répartir)</t>
    </r>
  </si>
  <si>
    <t>ne pas oublier la part d'amortissement dans l'annuité du crédit bail</t>
  </si>
  <si>
    <t>ne pas compté les transferts de charge</t>
  </si>
  <si>
    <t>prendre en compte aussi des frais financiers 
dans l'annuité de crédit bail</t>
  </si>
  <si>
    <r>
      <t xml:space="preserve">Subvention d'exploitation </t>
    </r>
    <r>
      <rPr>
        <b/>
        <sz val="10"/>
        <color rgb="FFFF0000"/>
        <rFont val="Arial"/>
        <family val="2"/>
      </rPr>
      <t>(hors part reçue en complément de prix)</t>
    </r>
  </si>
  <si>
    <r>
      <t xml:space="preserve">déjà calculés au niveau du </t>
    </r>
    <r>
      <rPr>
        <b/>
        <sz val="10"/>
        <rFont val="Arial"/>
        <family val="2"/>
      </rPr>
      <t>Résultat Brut d'Exploitation</t>
    </r>
  </si>
  <si>
    <r>
      <t xml:space="preserve">les éléments de ce solde sont 
déjà calculés au niveau du </t>
    </r>
    <r>
      <rPr>
        <b/>
        <sz val="10"/>
        <rFont val="Arial"/>
        <family val="2"/>
      </rPr>
      <t>Résultat Brut Global</t>
    </r>
  </si>
  <si>
    <r>
      <t xml:space="preserve">+ Autres produits et autres charges </t>
    </r>
    <r>
      <rPr>
        <b/>
        <sz val="10"/>
        <rFont val="Arial"/>
        <family val="2"/>
      </rPr>
      <t>hors exploitation</t>
    </r>
  </si>
  <si>
    <r>
      <t xml:space="preserve">+ Autres produits et autres charges </t>
    </r>
    <r>
      <rPr>
        <b/>
        <sz val="10"/>
        <rFont val="Arial"/>
        <family val="2"/>
      </rPr>
      <t>d'exploitation</t>
    </r>
  </si>
  <si>
    <t>calculée au niveau du résultat brut global</t>
  </si>
  <si>
    <r>
      <t xml:space="preserve">Revenus répartis entre </t>
    </r>
    <r>
      <rPr>
        <b/>
        <sz val="10"/>
        <color rgb="FFFF0000"/>
        <rFont val="Arial"/>
        <family val="2"/>
      </rPr>
      <t>le personnel</t>
    </r>
  </si>
  <si>
    <r>
      <t xml:space="preserve">Revenus répartis entre </t>
    </r>
    <r>
      <rPr>
        <b/>
        <sz val="10"/>
        <color rgb="FFFF0000"/>
        <rFont val="Arial"/>
        <family val="2"/>
      </rPr>
      <t>les services de l'état</t>
    </r>
  </si>
  <si>
    <r>
      <t xml:space="preserve">Revenus répartis entre </t>
    </r>
    <r>
      <rPr>
        <b/>
        <sz val="10"/>
        <color rgb="FFFF0000"/>
        <rFont val="Arial"/>
        <family val="2"/>
      </rPr>
      <t>les prêteurs</t>
    </r>
  </si>
  <si>
    <r>
      <t>Revenus d'</t>
    </r>
    <r>
      <rPr>
        <b/>
        <sz val="10"/>
        <color rgb="FFFF0000"/>
        <rFont val="Arial"/>
        <family val="2"/>
      </rPr>
      <t>autofinancement de l'entreprise</t>
    </r>
  </si>
  <si>
    <r>
      <t>Revenus répartis entre</t>
    </r>
    <r>
      <rPr>
        <b/>
        <sz val="10"/>
        <color rgb="FFFF0000"/>
        <rFont val="Arial"/>
        <family val="2"/>
      </rPr>
      <t xml:space="preserve"> les associés et actionnaires</t>
    </r>
  </si>
  <si>
    <t xml:space="preserve">- achat des marchandises </t>
  </si>
  <si>
    <t>- Variation de stock de marchandises</t>
  </si>
  <si>
    <t>Achat de marchandises (FS)</t>
  </si>
  <si>
    <t>(607 - 6097) 
+ 6087</t>
  </si>
  <si>
    <t>Produits exceptionnels</t>
  </si>
  <si>
    <t>Achat de matières 1ères et approvisionnements</t>
  </si>
  <si>
    <t>Variation de stock de matières 1ères et appro</t>
  </si>
  <si>
    <t>- Charges de personnel extérieurs</t>
  </si>
  <si>
    <t>Ce solde permet de calculer le "Taux de rentabilité économique" = (Résultat Net Global) / ((Capitaux propres appelés) - (Endettement financier))</t>
  </si>
  <si>
    <t>Produits financiers</t>
  </si>
  <si>
    <t>Charges financières</t>
  </si>
  <si>
    <t>- DADP financières</t>
  </si>
  <si>
    <t>Méthode 
additive</t>
  </si>
  <si>
    <t>Méthode 
soustractive</t>
  </si>
  <si>
    <t>1ère 
méthode</t>
  </si>
  <si>
    <t>2ème 
méthode</t>
  </si>
  <si>
    <t>Emplois</t>
  </si>
  <si>
    <t>Immobilisations d'exploitation brutes</t>
  </si>
  <si>
    <t>Immobilisation hors exploitation brutes</t>
  </si>
  <si>
    <t>+ Avances et accomptes sur immobilisations corporelles</t>
  </si>
  <si>
    <t>+ Immobilisations incorporelles en cours</t>
  </si>
  <si>
    <t>+ Immobilisation corporelles en cours</t>
  </si>
  <si>
    <t>+ Somme des immobilisations financières brutes</t>
  </si>
  <si>
    <t xml:space="preserve">- Intérêts courus sur prêts accordéés par l'entreprise </t>
  </si>
  <si>
    <t>- Intérêts courus sur titres immobilisés</t>
  </si>
  <si>
    <t>Actifs Circulant</t>
  </si>
  <si>
    <t>Avances et accomptes versés</t>
  </si>
  <si>
    <t>Créances d'exploitation</t>
  </si>
  <si>
    <t>Créances hors exploitation</t>
  </si>
  <si>
    <t>Trésorerie actif</t>
  </si>
  <si>
    <t>Stock de matières premières et autres approvisionnements</t>
  </si>
  <si>
    <t>Avances et accomptes versés sur commande</t>
  </si>
  <si>
    <t>+ Stock d'en cours de production de biens</t>
  </si>
  <si>
    <t xml:space="preserve">+ Stock d'en cours de production de services </t>
  </si>
  <si>
    <t>+ Stock de produits intermédiaires et finis</t>
  </si>
  <si>
    <t>+ Stock de marchandises</t>
  </si>
  <si>
    <t>Disponibilités (banques, caisse)</t>
  </si>
  <si>
    <t>Ressources</t>
  </si>
  <si>
    <t>Ressources stables</t>
  </si>
  <si>
    <t xml:space="preserve">Financements propsres </t>
  </si>
  <si>
    <t>Dettes financières</t>
  </si>
  <si>
    <t>Passif circulant</t>
  </si>
  <si>
    <t>Avances et accomptes reçus</t>
  </si>
  <si>
    <t>Dettes d'exploitation</t>
  </si>
  <si>
    <t>Dettes hors exploitation</t>
  </si>
  <si>
    <t>Trésorerie passif</t>
  </si>
  <si>
    <r>
      <t xml:space="preserve">Créances clients et comptes rattachés </t>
    </r>
    <r>
      <rPr>
        <b/>
        <sz val="10"/>
        <rFont val="Arial"/>
        <family val="2"/>
      </rPr>
      <t>brut</t>
    </r>
  </si>
  <si>
    <t>+ Effets Escpmptés Non Echus (E.E.N.E)</t>
  </si>
  <si>
    <r>
      <t xml:space="preserve">Part des "autres" créances </t>
    </r>
    <r>
      <rPr>
        <b/>
        <sz val="10"/>
        <rFont val="Arial"/>
        <family val="2"/>
      </rPr>
      <t>brutes</t>
    </r>
    <r>
      <rPr>
        <sz val="10"/>
        <rFont val="Arial"/>
        <family val="2"/>
      </rPr>
      <t xml:space="preserve"> liés au hors exploitation</t>
    </r>
  </si>
  <si>
    <t>cf. 2057 "état des échéances des créances"</t>
  </si>
  <si>
    <t xml:space="preserve">ne pas confondre avec le compte 109 
"capital souscrit non appelé" en haut du passif </t>
  </si>
  <si>
    <t>+ Part des charges constatées d'avance (C.C.A) liés à l'exploitation</t>
  </si>
  <si>
    <t>+ Part des charges constatées d'avance (C.C.A) liés au hors l'exploitation</t>
  </si>
  <si>
    <t>+ Capital souscrit appelé non versé</t>
  </si>
  <si>
    <t xml:space="preserve">+ Intérêts courus sur prêts accordéés par l'entreprise </t>
  </si>
  <si>
    <t>+ Intérêts courus sur titres immobilisés</t>
  </si>
  <si>
    <r>
      <t xml:space="preserve">+ Part des E.C.A </t>
    </r>
    <r>
      <rPr>
        <b/>
        <sz val="10"/>
        <color theme="9" tint="-0.249977111117893"/>
        <rFont val="Arial"/>
        <family val="2"/>
      </rPr>
      <t>liés aux créances d'exploitation</t>
    </r>
  </si>
  <si>
    <r>
      <t xml:space="preserve">- Part des E.C.P </t>
    </r>
    <r>
      <rPr>
        <b/>
        <sz val="10"/>
        <color theme="9" tint="-0.249977111117893"/>
        <rFont val="Arial"/>
        <family val="2"/>
      </rPr>
      <t>liés aux créances d'exploitation</t>
    </r>
  </si>
  <si>
    <r>
      <t xml:space="preserve">+ part des E.C.A </t>
    </r>
    <r>
      <rPr>
        <b/>
        <sz val="10"/>
        <color theme="9" tint="-0.249977111117893"/>
        <rFont val="Arial"/>
        <family val="2"/>
      </rPr>
      <t>liée aux avances et accomptes versés</t>
    </r>
  </si>
  <si>
    <r>
      <t xml:space="preserve">- part des E.C.P </t>
    </r>
    <r>
      <rPr>
        <b/>
        <sz val="10"/>
        <color theme="9" tint="-0.249977111117893"/>
        <rFont val="Arial"/>
        <family val="2"/>
      </rPr>
      <t>liée aux avances et accomptes versés</t>
    </r>
  </si>
  <si>
    <r>
      <t xml:space="preserve">+ part des E.C.A </t>
    </r>
    <r>
      <rPr>
        <b/>
        <sz val="10"/>
        <color theme="9" tint="-0.249977111117893"/>
        <rFont val="Arial"/>
        <family val="2"/>
      </rPr>
      <t>liée aux prêts accordés</t>
    </r>
  </si>
  <si>
    <r>
      <t xml:space="preserve">- part des E.C.P </t>
    </r>
    <r>
      <rPr>
        <b/>
        <sz val="10"/>
        <color theme="9" tint="-0.249977111117893"/>
        <rFont val="Arial"/>
        <family val="2"/>
      </rPr>
      <t>liée aux prêts accordés</t>
    </r>
  </si>
  <si>
    <r>
      <t xml:space="preserve">+ Part des E.C.A </t>
    </r>
    <r>
      <rPr>
        <b/>
        <sz val="10"/>
        <color theme="9" tint="-0.249977111117893"/>
        <rFont val="Arial"/>
        <family val="2"/>
      </rPr>
      <t>liés aux créances hors exploitation</t>
    </r>
  </si>
  <si>
    <r>
      <t xml:space="preserve">- Part des E.C.P </t>
    </r>
    <r>
      <rPr>
        <b/>
        <sz val="10"/>
        <color theme="9" tint="-0.249977111117893"/>
        <rFont val="Arial"/>
        <family val="2"/>
      </rPr>
      <t>liés aux créances hors exploitation</t>
    </r>
  </si>
  <si>
    <r>
      <t xml:space="preserve">+ Part des V.M.P </t>
    </r>
    <r>
      <rPr>
        <b/>
        <sz val="10"/>
        <rFont val="Arial"/>
        <family val="2"/>
      </rPr>
      <t>brutes</t>
    </r>
    <r>
      <rPr>
        <sz val="10"/>
        <rFont val="Arial"/>
        <family val="2"/>
      </rPr>
      <t xml:space="preserve"> </t>
    </r>
    <r>
      <rPr>
        <sz val="10"/>
        <color rgb="FFFF0000"/>
        <rFont val="Arial"/>
        <family val="2"/>
      </rPr>
      <t>non disponibles rapidement</t>
    </r>
  </si>
  <si>
    <r>
      <t xml:space="preserve">+ Part des V.M.P </t>
    </r>
    <r>
      <rPr>
        <b/>
        <sz val="10"/>
        <rFont val="Arial"/>
        <family val="2"/>
      </rPr>
      <t xml:space="preserve">brutes </t>
    </r>
    <r>
      <rPr>
        <sz val="10"/>
        <color rgb="FFFF0000"/>
        <rFont val="Arial"/>
        <family val="2"/>
      </rPr>
      <t>disponibles rapidement</t>
    </r>
  </si>
  <si>
    <t>E.C.A liés à des prêts accordés par l'entreprise</t>
  </si>
  <si>
    <t>E.C.A liés à des avances et accomptes versés</t>
  </si>
  <si>
    <t>E.C.A liés à des avances et accomptes reçus</t>
  </si>
  <si>
    <t>+ Frais de recherche et de développement</t>
  </si>
  <si>
    <t>+ Concession, brevets, licences, marques</t>
  </si>
  <si>
    <t>+ Fonds commercial</t>
  </si>
  <si>
    <t>+ Autres immobilisations incorporelles</t>
  </si>
  <si>
    <t>+ Terrains</t>
  </si>
  <si>
    <t>+ Constructions</t>
  </si>
  <si>
    <t>+ ITMOI</t>
  </si>
  <si>
    <t>+ Autres immobilisations corporelles</t>
  </si>
  <si>
    <t xml:space="preserve">+ Valeurs des biens pris en crédit bail </t>
  </si>
  <si>
    <t>en bas de l'actif aves les comptes de régularisation</t>
  </si>
  <si>
    <t>Capitaux propres du bilan comptable</t>
  </si>
  <si>
    <t xml:space="preserve">+ Provisions pour risques et charges </t>
  </si>
  <si>
    <t>- Capital souscrit non appelé</t>
  </si>
  <si>
    <r>
      <t xml:space="preserve">+ Avances conditionnées </t>
    </r>
    <r>
      <rPr>
        <b/>
        <sz val="10"/>
        <color rgb="FFFF0000"/>
        <rFont val="Arial"/>
        <family val="2"/>
      </rPr>
      <t>si assimilés à des financements propres</t>
    </r>
  </si>
  <si>
    <r>
      <t xml:space="preserve">Avances conditionnées </t>
    </r>
    <r>
      <rPr>
        <b/>
        <sz val="10"/>
        <color rgb="FFFF0000"/>
        <rFont val="Arial"/>
        <family val="2"/>
      </rPr>
      <t>si assimilés à des dettes financières</t>
    </r>
  </si>
  <si>
    <t xml:space="preserve">+ Emission des titres participatifs </t>
  </si>
  <si>
    <t>"Autres emprunts obligataires" (DT)</t>
  </si>
  <si>
    <t>"Emprunt obligataires convertible" (DS)</t>
  </si>
  <si>
    <t xml:space="preserve">+ Emprunt obligataires convertible </t>
  </si>
  <si>
    <t xml:space="preserve">+ Autres emprunts obligataires </t>
  </si>
  <si>
    <t>"Emission des titres participatifs" (DM)</t>
  </si>
  <si>
    <t>"Avances conditionnées" (DN)</t>
  </si>
  <si>
    <t>"Provision pour risques et charges" 
(DP + DQ)</t>
  </si>
  <si>
    <t xml:space="preserve">+ Emprunts auprès des établissements de crédit </t>
  </si>
  <si>
    <t>"Emprunts auprès des établissements de crédit" (DU)</t>
  </si>
  <si>
    <t>+ Emprunts et dettes divers</t>
  </si>
  <si>
    <t>"Emprunts et dettes divers" (DV)</t>
  </si>
  <si>
    <t xml:space="preserve">- Primes de remboursement des obligations </t>
  </si>
  <si>
    <t>actif "Primes de remboursement des 
obligations" (CM)</t>
  </si>
  <si>
    <t xml:space="preserve">- Intérêts courus sur emprunts </t>
  </si>
  <si>
    <t>16881 à 16884</t>
  </si>
  <si>
    <t>parties des postes : 
- "Emprunts auprès des établissements de crédit" (DU) 
- "Emprunts et dettes divers" (DV)</t>
  </si>
  <si>
    <t>+ Crédit bail non encore amorti</t>
  </si>
  <si>
    <t>451 ; 455</t>
  </si>
  <si>
    <t>- Concours Bancaires et Soldes Créditeurs de Banques (C.B et S.C.B)</t>
  </si>
  <si>
    <t>Il s'agit du découvert bancaire ==&gt; sera inclus dans la trésorerie passive</t>
  </si>
  <si>
    <t>Avances et accomptes reçus sur commandes</t>
  </si>
  <si>
    <r>
      <t xml:space="preserve">- part des comptes courants créditeurs à </t>
    </r>
    <r>
      <rPr>
        <b/>
        <sz val="10"/>
        <rFont val="Arial"/>
        <family val="2"/>
      </rPr>
      <t>court terme (&lt; 1 an)</t>
    </r>
  </si>
  <si>
    <r>
      <t xml:space="preserve">+ part des comptes courants créditeurs à </t>
    </r>
    <r>
      <rPr>
        <b/>
        <sz val="10"/>
        <rFont val="Arial"/>
        <family val="2"/>
      </rPr>
      <t>long terme (&gt; 1 an)</t>
    </r>
  </si>
  <si>
    <r>
      <t xml:space="preserve">Part des comptes courants créditeurs à </t>
    </r>
    <r>
      <rPr>
        <b/>
        <sz val="10"/>
        <rFont val="Arial"/>
        <family val="2"/>
      </rPr>
      <t>court terme (&lt; 1 an)</t>
    </r>
  </si>
  <si>
    <t>+ Concours Bancaires et Soldes Créditeurs de Banques (C.B et S.C.B)</t>
  </si>
  <si>
    <t>+ Obligations cautionnées</t>
  </si>
  <si>
    <t>déjà retirées des dettes fiscales et sociales (cf. dettes d'exploitation)</t>
  </si>
  <si>
    <t>+ Effet escomptés non échus (E.E.N.E)</t>
  </si>
  <si>
    <t>pour éqilibrer le bilan car déjà ajoutés dans les créances d'exploitation</t>
  </si>
  <si>
    <t xml:space="preserve">Dettes fournisseurs et comptes rattachés </t>
  </si>
  <si>
    <t>"Dettes fournisseurs et comptes 
rattachés" (DX)</t>
  </si>
  <si>
    <t>+ Dettes fiscales et sociales</t>
  </si>
  <si>
    <t>"Dettes fiscales et sociales" (DY)</t>
  </si>
  <si>
    <t>+ part des "Autres dettes" liée à l'exploitation</t>
  </si>
  <si>
    <t>cf annexes ou renvois ou 2057 "état des 
échéances des dettes"</t>
  </si>
  <si>
    <t>partie de "Autres dettes" (EA)</t>
  </si>
  <si>
    <t>+ Part des produis constatés d'avance (P.C.A) liés à l'exploitation</t>
  </si>
  <si>
    <t>partie de "P.C.A" (EB)</t>
  </si>
  <si>
    <t>- Obligations cautionnées</t>
  </si>
  <si>
    <t>partie de "Dettes fiscales et 
sociales" (DY)</t>
  </si>
  <si>
    <t>+ Part des produis constatés d'avance (P.C.A) liés aux hors exploitation</t>
  </si>
  <si>
    <t>+ Intérêts courus sur emprunt</t>
  </si>
  <si>
    <t>Dettes d'exploitation du bilan développé</t>
  </si>
  <si>
    <t>si bilan 
développé</t>
  </si>
  <si>
    <t>si bilan 
de base</t>
  </si>
  <si>
    <r>
      <t xml:space="preserve">+ La part des "autres dettes" </t>
    </r>
    <r>
      <rPr>
        <b/>
        <sz val="10"/>
        <rFont val="Arial"/>
        <family val="2"/>
      </rPr>
      <t>lié au hors exploitation</t>
    </r>
  </si>
  <si>
    <t>partie du poste "dettes fiscales et sociales" (DY)</t>
  </si>
  <si>
    <t>+ Dettes d'I.S 444 "Impôts sur les bénéfices"</t>
  </si>
  <si>
    <t>"Dettes sur immobilisations et comptes rattachés" (DZ)</t>
  </si>
  <si>
    <t>partie de "autres dettes" (EA)</t>
  </si>
  <si>
    <t xml:space="preserve">+ Dettes fiscales (Impôts sur les bénéfices) </t>
  </si>
  <si>
    <t>+ Autres (dettes diverses)</t>
  </si>
  <si>
    <t xml:space="preserve">- Comptes courant créditeurs </t>
  </si>
  <si>
    <t>partie de "autres dettes diverses" du bilan développé</t>
  </si>
  <si>
    <t>"créances clients et comptes rattachés" 
+ "Autres créances d'exploitation"</t>
  </si>
  <si>
    <r>
      <t xml:space="preserve">Créances diverses </t>
    </r>
    <r>
      <rPr>
        <b/>
        <sz val="10"/>
        <rFont val="Arial"/>
        <family val="2"/>
      </rPr>
      <t>brutes</t>
    </r>
    <r>
      <rPr>
        <sz val="10"/>
        <rFont val="Arial"/>
        <family val="2"/>
      </rPr>
      <t xml:space="preserve"> </t>
    </r>
  </si>
  <si>
    <t>Total des emplois</t>
  </si>
  <si>
    <t>Total des ressources</t>
  </si>
  <si>
    <t>Variation</t>
  </si>
  <si>
    <t>partie du poste "autres dettes diverses" du bilan développé</t>
  </si>
  <si>
    <t>partie du poste "Dettes fiscales et sociales" (DY) du bilan de base</t>
  </si>
  <si>
    <t>à prendre en compte s'il s'agit d'un bilan après répartition ==&gt; seront ajoutés aux financement propres. cf annexes ou renvois ou 2057 "état des 
échéances des dettes"</t>
  </si>
  <si>
    <t>à prendre en compte s'il s'agit d'un bilan après répartition. ==&gt; seront ajoutés aux financement propres. cf annexes ou renvois ou 2057 "état des 
échéances des dettes"</t>
  </si>
  <si>
    <t>du poste "capital" à "provision réglementées"</t>
  </si>
  <si>
    <r>
      <t xml:space="preserve">si hypothèse prise de les inclure dans le financement propre
sinon les inclure dans les dettes financières. 
</t>
    </r>
    <r>
      <rPr>
        <b/>
        <sz val="10"/>
        <rFont val="Arial"/>
        <family val="2"/>
      </rPr>
      <t>Les obligations remboursables en actions sont assimilables à du financement propre sinon dettes financières.</t>
    </r>
  </si>
  <si>
    <t>actifs immobilisé et circulant</t>
  </si>
  <si>
    <t>Il s'agit de dette de TVA envers l'état lors de dédouanement en cas d'import de marchandises hors communauté européenne. L'entreprise est généralement cautionnée par une banque. Ce montant sera inclus dans la trésorerie passive. Cf. 2057 "état des échéances des dettes"</t>
  </si>
  <si>
    <t>cf annexes ou renvois ou 2057 "état des échéances des dettes"</t>
  </si>
  <si>
    <t>on les retire dans le cas de bilan développé car ils sont inclus dans le poste "autres dettes diverses"
* la part à LT ==&gt; ira dans les dettes financières 
* la part à CT ==&gt; ira dans la trésorerie passive</t>
  </si>
  <si>
    <t>les V.M.P disponibles rapidement sont ajoutés dans la trésorerie actif</t>
  </si>
  <si>
    <t xml:space="preserve">+ Amortissements cumulés du crédit bail </t>
  </si>
  <si>
    <t>La partie non encore amortie sera ajoutée aux dettes financières. 
Dans le bilan on ne prend pas en compte les intérêts liés au crédit bail.</t>
  </si>
  <si>
    <t>1ère méthode ==&gt; ("valeur à neuf") - "sommes des amortissements cumulé" (inscrit dans le "financement propre") 
2ème méthode ==&gt; ("valeur à neuf" - "valeur de rachat") - "sommes des amortissements cumulé" (inscrit dans le "financement propre") 
==&gt; la somme des amortissements cumulés est ajoutée aux financement propres. 
Dans le bilan on ne prend pas en compte les intérêts liés au crédit bail.</t>
  </si>
  <si>
    <t>correspond à l'écriture 512 à 5114
Par prudence, si les effets reviennent impayé par le tiré, l'entreprise devra les rajouter aux créances clients (511 à 512)
Pour équilibrer le bilan, on les ajoute aussi dans la trésorerie passif</t>
  </si>
  <si>
    <t>retirés de l'AIB</t>
  </si>
  <si>
    <t>ajoutés aux créances hors exploitation</t>
  </si>
  <si>
    <r>
      <t xml:space="preserve">+ part des E.C.P </t>
    </r>
    <r>
      <rPr>
        <b/>
        <sz val="10"/>
        <color theme="9" tint="-0.249977111117893"/>
        <rFont val="Arial"/>
        <family val="2"/>
      </rPr>
      <t>liés aux dettes financières</t>
    </r>
  </si>
  <si>
    <r>
      <t xml:space="preserve">- part des E.C.A </t>
    </r>
    <r>
      <rPr>
        <b/>
        <sz val="10"/>
        <color theme="9" tint="-0.249977111117893"/>
        <rFont val="Arial"/>
        <family val="2"/>
      </rPr>
      <t>liés aux dettes financières</t>
    </r>
  </si>
  <si>
    <r>
      <t xml:space="preserve">+ part des E.C.P </t>
    </r>
    <r>
      <rPr>
        <b/>
        <sz val="10"/>
        <color theme="9" tint="-0.249977111117893"/>
        <rFont val="Arial"/>
        <family val="2"/>
      </rPr>
      <t>liés aux dettes hors exploitation</t>
    </r>
  </si>
  <si>
    <r>
      <t xml:space="preserve">- part des E.C.A </t>
    </r>
    <r>
      <rPr>
        <b/>
        <sz val="10"/>
        <color theme="9" tint="-0.249977111117893"/>
        <rFont val="Arial"/>
        <family val="2"/>
      </rPr>
      <t>liés aux dettes hors exploitation</t>
    </r>
  </si>
  <si>
    <r>
      <t xml:space="preserve">+ part des E.C.P </t>
    </r>
    <r>
      <rPr>
        <b/>
        <sz val="10"/>
        <color theme="9" tint="-0.249977111117893"/>
        <rFont val="Arial"/>
        <family val="2"/>
      </rPr>
      <t xml:space="preserve">liés aux avances et accomptes reçus </t>
    </r>
  </si>
  <si>
    <r>
      <t xml:space="preserve">- part des E.C.A </t>
    </r>
    <r>
      <rPr>
        <b/>
        <sz val="10"/>
        <color theme="9" tint="-0.249977111117893"/>
        <rFont val="Arial"/>
        <family val="2"/>
      </rPr>
      <t xml:space="preserve">liés aux avances et accomptes reçus </t>
    </r>
  </si>
  <si>
    <r>
      <t>+</t>
    </r>
    <r>
      <rPr>
        <b/>
        <sz val="10"/>
        <color rgb="FF002060"/>
        <rFont val="Arial"/>
        <family val="2"/>
      </rPr>
      <t xml:space="preserve"> Frais d'émission des emprunts à étaler </t>
    </r>
    <r>
      <rPr>
        <b/>
        <sz val="10"/>
        <color rgb="FFFF0000"/>
        <rFont val="Arial"/>
        <family val="2"/>
      </rPr>
      <t>(si assimilés à des A.I.M)</t>
    </r>
  </si>
  <si>
    <t>seront inclus dans les "Immobilisations d'exploitation brutes" si considér comme des A.I.B</t>
  </si>
  <si>
    <r>
      <t xml:space="preserve">si l'hypothèse a été prise
</t>
    </r>
    <r>
      <rPr>
        <sz val="10"/>
        <color rgb="FFFF0000"/>
        <rFont val="Arial"/>
        <family val="2"/>
      </rPr>
      <t>seront inclus dans les "Financements propres" si non considér comme des A.I.B</t>
    </r>
  </si>
  <si>
    <t>à l'origine ces primes étaient dans les comptes de régularisation dans l'actif du bilan comptable et elles sont retirées des dettes financières pour équilibrer le bilan fonctionnel</t>
  </si>
  <si>
    <t>ce compte était en haut de l'actif du bilan comptable et est rajouté au financement propres dans les ressources stables pour équilibrer le bilan fonctionnel</t>
  </si>
  <si>
    <t>si bilan après répartition</t>
  </si>
  <si>
    <r>
      <t xml:space="preserve">si bilan 
de base 
</t>
    </r>
    <r>
      <rPr>
        <b/>
        <sz val="10"/>
        <rFont val="Arial"/>
        <family val="2"/>
      </rPr>
      <t>ET</t>
    </r>
    <r>
      <rPr>
        <b/>
        <sz val="10"/>
        <color rgb="FFFF0000"/>
        <rFont val="Arial"/>
        <family val="2"/>
      </rPr>
      <t xml:space="preserve">
</t>
    </r>
    <r>
      <rPr>
        <b/>
        <sz val="10"/>
        <color theme="3" tint="-0.249977111117893"/>
        <rFont val="Arial"/>
        <family val="2"/>
      </rPr>
      <t>si bilan après répartition</t>
    </r>
  </si>
  <si>
    <r>
      <t xml:space="preserve">si bilan 
développé 
</t>
    </r>
    <r>
      <rPr>
        <b/>
        <sz val="10"/>
        <rFont val="Arial"/>
        <family val="2"/>
      </rPr>
      <t>ET</t>
    </r>
    <r>
      <rPr>
        <b/>
        <sz val="10"/>
        <color rgb="FFFF0000"/>
        <rFont val="Arial"/>
        <family val="2"/>
      </rPr>
      <t xml:space="preserve">
</t>
    </r>
    <r>
      <rPr>
        <b/>
        <sz val="10"/>
        <color theme="3" tint="-0.249977111117893"/>
        <rFont val="Arial"/>
        <family val="2"/>
      </rPr>
      <t>si bilan après répartition</t>
    </r>
  </si>
  <si>
    <r>
      <t xml:space="preserve">à prendre en compte s'il s'agit d'un bilan après répartition. 
</t>
    </r>
    <r>
      <rPr>
        <sz val="10"/>
        <color rgb="FFFF0000"/>
        <rFont val="Arial"/>
        <family val="2"/>
      </rPr>
      <t>==&gt; seront retirés des dettes d'exploitation si bilan de base
==&gt; seront retirés des dettes hors exploitation si bilan développé</t>
    </r>
    <r>
      <rPr>
        <sz val="10"/>
        <rFont val="Arial"/>
        <family val="2"/>
      </rPr>
      <t xml:space="preserve">
cf annexes ou renvois ou 2057 "état des échéances des dettes"</t>
    </r>
  </si>
  <si>
    <r>
      <rPr>
        <b/>
        <sz val="10"/>
        <color rgb="FFFF0000"/>
        <rFont val="Arial"/>
        <family val="2"/>
      </rPr>
      <t>-</t>
    </r>
    <r>
      <rPr>
        <b/>
        <sz val="10"/>
        <rFont val="Arial"/>
        <family val="2"/>
      </rPr>
      <t xml:space="preserve"> </t>
    </r>
    <r>
      <rPr>
        <b/>
        <sz val="10"/>
        <color theme="3" tint="-0.499984740745262"/>
        <rFont val="Arial"/>
        <family val="2"/>
      </rPr>
      <t>Dividendes à distribuer</t>
    </r>
    <r>
      <rPr>
        <b/>
        <sz val="10"/>
        <rFont val="Arial"/>
        <family val="2"/>
      </rPr>
      <t xml:space="preserve"> </t>
    </r>
    <r>
      <rPr>
        <b/>
        <sz val="10"/>
        <color rgb="FFFF0000"/>
        <rFont val="Arial"/>
        <family val="2"/>
      </rPr>
      <t>(si bilan après répartition)</t>
    </r>
  </si>
  <si>
    <r>
      <rPr>
        <sz val="10"/>
        <color rgb="FFFF0000"/>
        <rFont val="Arial"/>
        <family val="2"/>
      </rPr>
      <t>-</t>
    </r>
    <r>
      <rPr>
        <sz val="10"/>
        <rFont val="Arial"/>
        <family val="2"/>
      </rPr>
      <t xml:space="preserve"> </t>
    </r>
    <r>
      <rPr>
        <b/>
        <sz val="10"/>
        <color theme="3" tint="-0.249977111117893"/>
        <rFont val="Arial"/>
        <family val="2"/>
      </rPr>
      <t>Dividendes à distribuer</t>
    </r>
    <r>
      <rPr>
        <sz val="10"/>
        <rFont val="Arial"/>
        <family val="2"/>
      </rPr>
      <t xml:space="preserve"> </t>
    </r>
    <r>
      <rPr>
        <b/>
        <sz val="10"/>
        <color rgb="FFFF0000"/>
        <rFont val="Arial"/>
        <family val="2"/>
      </rPr>
      <t>(si bilan après répartition)</t>
    </r>
  </si>
  <si>
    <t>- Dettes d'I.S "Impôts sur les bénéfices"</t>
  </si>
  <si>
    <t>Pour le montant de N-1, cf. méthodes de calcul dans immo d'exploitation brutes</t>
  </si>
  <si>
    <r>
      <t xml:space="preserve">Le montant brut de la somme de ces postes (et les autres postes des immobilisations hors exploitation), se calcule de deux manières : 
</t>
    </r>
    <r>
      <rPr>
        <b/>
        <u/>
        <sz val="10"/>
        <rFont val="Arial"/>
        <family val="2"/>
      </rPr>
      <t xml:space="preserve">1ère façon </t>
    </r>
    <r>
      <rPr>
        <sz val="10"/>
        <rFont val="Arial"/>
        <family val="2"/>
      </rPr>
      <t xml:space="preserve">
Net de N-1 
+ Les amortissements (liasse 2055, cadre A ==&gt; montant des amortissement au début de l'exercice N, cellule 0N : total général) 
+ Les dépréciations (liasse 2056, colonne "montant au début de l'exercice" ==&gt; lignes des immobilisation : cellules 6A + 6E + 02 + 9U + 06)
</t>
    </r>
    <r>
      <rPr>
        <b/>
        <u/>
        <sz val="10"/>
        <rFont val="Arial"/>
        <family val="2"/>
      </rPr>
      <t xml:space="preserve">2ème façon </t>
    </r>
    <r>
      <rPr>
        <sz val="10"/>
        <rFont val="Arial"/>
        <family val="2"/>
      </rPr>
      <t xml:space="preserve">
Immobilisation brutes de N-1 ==&gt; liasse 2054 "Immobilisation", colonne "Valeur brute des immobilisations au début de l'exercice" ==&gt; cellule 0G</t>
    </r>
  </si>
  <si>
    <t>Pour déterminer le montant de N-1, ajouter les amortissements et dépréciations calculés dans les immobilisations</t>
  </si>
  <si>
    <t>les V.M.P non disponibles rapidement sont ajoutés dans les créances hors exploitation : en se basant sur les annexes.</t>
  </si>
  <si>
    <r>
      <t xml:space="preserve">+ </t>
    </r>
    <r>
      <rPr>
        <b/>
        <sz val="10"/>
        <rFont val="Arial"/>
        <family val="2"/>
      </rPr>
      <t>somme des amortissements et dépréciations de l'actif</t>
    </r>
  </si>
  <si>
    <t>Amortissements 
Dépréciations</t>
  </si>
  <si>
    <t>Net</t>
  </si>
  <si>
    <t>N</t>
  </si>
  <si>
    <t>N - 1</t>
  </si>
  <si>
    <t>d'exploitation</t>
  </si>
  <si>
    <t>hors 
exploitation</t>
  </si>
  <si>
    <t>exploitation</t>
  </si>
  <si>
    <t>5 - Bénéfice ou perte (Total des produits - Total des charges)</t>
  </si>
  <si>
    <t>Détais des postes (Comptes du PCG)</t>
  </si>
  <si>
    <t>Postes 
liasse 
fiscale</t>
  </si>
  <si>
    <r>
      <t xml:space="preserve">Charges constatées d'avance </t>
    </r>
    <r>
      <rPr>
        <b/>
        <sz val="11"/>
        <color rgb="FFFF0000"/>
        <rFont val="Calibri"/>
        <family val="2"/>
      </rPr>
      <t>(exploitation + hors exploitation)</t>
    </r>
  </si>
  <si>
    <t>Non</t>
  </si>
  <si>
    <t>Oui</t>
  </si>
  <si>
    <t xml:space="preserve">Intérêts courus sur prêts accordéés par l'entreprise </t>
  </si>
  <si>
    <t>Intérêts courus sur titres immobilisés</t>
  </si>
  <si>
    <t>V.M.P disponibles rapidement</t>
  </si>
  <si>
    <r>
      <t xml:space="preserve">+ </t>
    </r>
    <r>
      <rPr>
        <b/>
        <sz val="10"/>
        <color theme="3" tint="-0.249977111117893"/>
        <rFont val="Arial"/>
        <family val="2"/>
      </rPr>
      <t>Dividendes distribués</t>
    </r>
    <r>
      <rPr>
        <sz val="10"/>
        <color rgb="FFFF0000"/>
        <rFont val="Arial"/>
        <family val="2"/>
      </rPr>
      <t xml:space="preserve"> </t>
    </r>
    <r>
      <rPr>
        <b/>
        <sz val="10"/>
        <color rgb="FFFF0000"/>
        <rFont val="Arial"/>
        <family val="2"/>
      </rPr>
      <t>(si bilan après répartition)</t>
    </r>
  </si>
  <si>
    <t>Concours Bancaires et Soldes Créditeurs de Banques (C.B et S.C.B)</t>
  </si>
  <si>
    <t>Effet escomptés non échus (E.E.N.E)</t>
  </si>
  <si>
    <r>
      <t xml:space="preserve">+ part des E.C.P </t>
    </r>
    <r>
      <rPr>
        <b/>
        <sz val="10"/>
        <color theme="9" tint="-0.249977111117893"/>
        <rFont val="Arial"/>
        <family val="2"/>
      </rPr>
      <t>liés aux fournisseurs</t>
    </r>
  </si>
  <si>
    <r>
      <t xml:space="preserve">- part des E.C.A </t>
    </r>
    <r>
      <rPr>
        <b/>
        <sz val="10"/>
        <color theme="9" tint="-0.249977111117893"/>
        <rFont val="Arial"/>
        <family val="2"/>
      </rPr>
      <t>liés aux fournisseurs</t>
    </r>
  </si>
  <si>
    <t>E.C.A liés à des emprunts (dettes financières)</t>
  </si>
  <si>
    <t>E.C.A liés à des dettes diverses (hors exploitation)</t>
  </si>
  <si>
    <t>E.C.A liés à des dettes fournisseurs (exploitation)</t>
  </si>
  <si>
    <t>E.C.A liés à des créances clients (exploitation)</t>
  </si>
  <si>
    <t>E.C.A liés à des créances diverses (hors exploitation)</t>
  </si>
  <si>
    <t>E.C.P liés à des prêts accordés par l'entreprise</t>
  </si>
  <si>
    <t>E.C.P liés à des créances clients (exploitation)</t>
  </si>
  <si>
    <t>E.C.P liés à des créances diverses (hors exploitation)</t>
  </si>
  <si>
    <t>E.C.P liés à des avances et accomptes versés</t>
  </si>
  <si>
    <t>E.C.P liés à des emprunts (dettes financières)</t>
  </si>
  <si>
    <t>E.C.P liés à des avances et accomptes reçus</t>
  </si>
  <si>
    <t>E.C.P liés à des dettes fournisseurs (exploitation)</t>
  </si>
  <si>
    <t>E.C.P liés à des dettes diverses (hors exploitation)</t>
  </si>
  <si>
    <r>
      <t xml:space="preserve">- </t>
    </r>
    <r>
      <rPr>
        <b/>
        <sz val="10"/>
        <color rgb="FF002060"/>
        <rFont val="Arial"/>
        <family val="2"/>
      </rPr>
      <t>Frais d'émission des emprunts à étaler</t>
    </r>
    <r>
      <rPr>
        <sz val="10"/>
        <rFont val="Arial"/>
        <family val="2"/>
      </rPr>
      <t xml:space="preserve"> </t>
    </r>
    <r>
      <rPr>
        <b/>
        <sz val="10"/>
        <color rgb="FFFF0000"/>
        <rFont val="Arial"/>
        <family val="2"/>
      </rPr>
      <t>(si non assimilés à des A.I.B)</t>
    </r>
  </si>
  <si>
    <t xml:space="preserve">Intérêts courus sur emprunts </t>
  </si>
  <si>
    <t>Autres dettes d'exploitation</t>
  </si>
  <si>
    <t>CADRE A</t>
  </si>
  <si>
    <t>IMMOBILISATIONS</t>
  </si>
  <si>
    <t>Valeur brute des immobilisations au début de l'exercice</t>
  </si>
  <si>
    <t>Augmentations</t>
  </si>
  <si>
    <t>Consécutives à une réévaluation pratiquée au cours de l'exercice ou résultant d'une mise en équivalence</t>
  </si>
  <si>
    <t>Acquisitions, créations, apports et virements de poste à poste</t>
  </si>
  <si>
    <t>INCORP.</t>
  </si>
  <si>
    <t>CORPORELLES</t>
  </si>
  <si>
    <t>Sur sol propre</t>
  </si>
  <si>
    <t>Sur sol d'autrui</t>
  </si>
  <si>
    <t>Installations techniques, matériel et outillages industriels</t>
  </si>
  <si>
    <t>Matériel de transport</t>
  </si>
  <si>
    <t>Matériel de bureau et informatique, mobilier</t>
  </si>
  <si>
    <t>Emballages récupérables et divers</t>
  </si>
  <si>
    <t>Avances et acomptes</t>
  </si>
  <si>
    <t xml:space="preserve">TOTAL III </t>
  </si>
  <si>
    <t>FINANCIERES</t>
  </si>
  <si>
    <t>Participations évaluées par mise en équivalence</t>
  </si>
  <si>
    <t>Autres participations</t>
  </si>
  <si>
    <t>Prêts et autres immobilisations financières</t>
  </si>
  <si>
    <t xml:space="preserve">TOTAL IV </t>
  </si>
  <si>
    <t xml:space="preserve">TOTAL GÉNÉRAL  (I + II +III + IV) </t>
  </si>
  <si>
    <t>CADRE B</t>
  </si>
  <si>
    <t>Diminutions</t>
  </si>
  <si>
    <t>Valeur brute des immobilisations à la fin de l'exercice</t>
  </si>
  <si>
    <t>Réévaluation légale ou évaluation par mise en équivalence</t>
  </si>
  <si>
    <t>par virement de poste à poste</t>
  </si>
  <si>
    <t>Par cession à des tiers ou mises hors services ou résultant d'une mise en équivalence</t>
  </si>
  <si>
    <t>Valeur d'origine des immobilisations en fin d'exercice</t>
  </si>
  <si>
    <t>MY</t>
  </si>
  <si>
    <t>NC</t>
  </si>
  <si>
    <t>Extrait 2054 - Immobilisations</t>
  </si>
  <si>
    <t>IMMOBILISATIONS AMORTISSABLES</t>
  </si>
  <si>
    <t>Diminutions : amortissements afférents aux éléments sortis de l'actif et reprises</t>
  </si>
  <si>
    <t>Montant des amortissements à la fin de l'exercice</t>
  </si>
  <si>
    <t>Frais d'établissement, de recherche et de développement</t>
  </si>
  <si>
    <t>Inst. générales, agencements et aménagements des constructions</t>
  </si>
  <si>
    <t>Inst. générales, agencements et aménagts divers</t>
  </si>
  <si>
    <t>CADRE C</t>
  </si>
  <si>
    <t>MOUVEMENTS DE L'EXERCICE AFFECTANT LES CHARGES RÉPARTIES SUR PLUSIEURS EXERCICES*</t>
  </si>
  <si>
    <t>Montant net au début                                               de l'exercice</t>
  </si>
  <si>
    <t>Dotations de l'exercice aux amortissements</t>
  </si>
  <si>
    <t>Montant net                                                                           à la fin de l'exercice</t>
  </si>
  <si>
    <t>SITUATIONS ET MOUVEMENTS DE L'EXERCICE DES AMORTISSEMENTS TECHNIQUES 
(OU VENANT EN DIMINUTION DE L'ACTIF)</t>
  </si>
  <si>
    <t>VENTILATION DES MOUVEMENTS AFFECTANT LA PROVISION POUR AMORTISSEMENTS DEROGATOIRES</t>
  </si>
  <si>
    <t>DOTATIONS</t>
  </si>
  <si>
    <t>REPRISES</t>
  </si>
  <si>
    <t>Mouvement net des amortissements à la fin de l'exercice</t>
  </si>
  <si>
    <t>Colonne 1 
Différentiel de durée et autres</t>
  </si>
  <si>
    <t>Colonne 2
Mode dégressif</t>
  </si>
  <si>
    <t>Colonne 3 
Amortissement fiscal exceptionnel</t>
  </si>
  <si>
    <t>Colonne 4 
Différentiel de durée et autres</t>
  </si>
  <si>
    <t>Colonne 6 
Amortissement fiscal exceptionnel</t>
  </si>
  <si>
    <t>Colonne 5 
Mode dégressif</t>
  </si>
  <si>
    <t>NP</t>
  </si>
  <si>
    <t>NQ</t>
  </si>
  <si>
    <t>NR</t>
  </si>
  <si>
    <t>NS</t>
  </si>
  <si>
    <t>NT</t>
  </si>
  <si>
    <t>NU</t>
  </si>
  <si>
    <t>NV</t>
  </si>
  <si>
    <t>NW</t>
  </si>
  <si>
    <t>NY</t>
  </si>
  <si>
    <t>NZ</t>
  </si>
  <si>
    <t>TOTAL GENERAL non ventilé 
(NS + NT + NU)</t>
  </si>
  <si>
    <t>TOTAL GENERAL non ventilé 
(NW - NY)</t>
  </si>
  <si>
    <t>Dont composants</t>
  </si>
  <si>
    <t>Installations générales, agencements constructions</t>
  </si>
  <si>
    <t>L9</t>
  </si>
  <si>
    <t>M1</t>
  </si>
  <si>
    <t>M2</t>
  </si>
  <si>
    <t>M3</t>
  </si>
  <si>
    <t>Nature des provisions</t>
  </si>
  <si>
    <t>Provisions   réglementées</t>
  </si>
  <si>
    <t>Provisions pour réconstitution des gisements miniers et pétroliers</t>
  </si>
  <si>
    <t>3T</t>
  </si>
  <si>
    <t>TA</t>
  </si>
  <si>
    <t>TB</t>
  </si>
  <si>
    <t>TC</t>
  </si>
  <si>
    <t>Provisions pour investissement (art. 237 bis A-II)</t>
  </si>
  <si>
    <t>3U</t>
  </si>
  <si>
    <t>TD</t>
  </si>
  <si>
    <t>TE</t>
  </si>
  <si>
    <t>TF</t>
  </si>
  <si>
    <t>Provisions pour hausse des prix (1)</t>
  </si>
  <si>
    <t>3V</t>
  </si>
  <si>
    <t>TG</t>
  </si>
  <si>
    <t>TH</t>
  </si>
  <si>
    <t>TI</t>
  </si>
  <si>
    <t>Provisions pour fluctuation des cours</t>
  </si>
  <si>
    <t>3W</t>
  </si>
  <si>
    <t>TJ</t>
  </si>
  <si>
    <t>TK</t>
  </si>
  <si>
    <t>TL</t>
  </si>
  <si>
    <t>Amortissements dérogatoires</t>
  </si>
  <si>
    <t>3X</t>
  </si>
  <si>
    <t>TM</t>
  </si>
  <si>
    <t>TN</t>
  </si>
  <si>
    <t>TO</t>
  </si>
  <si>
    <t>Provisions fiscales pour implantations à l'étranger constitués avant le 1.1.1992</t>
  </si>
  <si>
    <t>IA</t>
  </si>
  <si>
    <t>IB</t>
  </si>
  <si>
    <t>IC</t>
  </si>
  <si>
    <t>ID</t>
  </si>
  <si>
    <t>Provisions fiscales pour implantations à l'étranger constitués après le 1.1.1992</t>
  </si>
  <si>
    <t>IE</t>
  </si>
  <si>
    <t>IF</t>
  </si>
  <si>
    <t>IG</t>
  </si>
  <si>
    <t>IH</t>
  </si>
  <si>
    <t>Provisions pour prêts d'installation (art. 39 quinquies H du CGI)</t>
  </si>
  <si>
    <t>IJ</t>
  </si>
  <si>
    <t>IK</t>
  </si>
  <si>
    <t>IL</t>
  </si>
  <si>
    <t>IM</t>
  </si>
  <si>
    <t>Autres provisions réglementées (1)</t>
  </si>
  <si>
    <t>3Y</t>
  </si>
  <si>
    <t>TP</t>
  </si>
  <si>
    <t>TQ</t>
  </si>
  <si>
    <t>TR</t>
  </si>
  <si>
    <t>3Z</t>
  </si>
  <si>
    <t>TS</t>
  </si>
  <si>
    <t>TT</t>
  </si>
  <si>
    <t>TU</t>
  </si>
  <si>
    <t>Provisions pour risques et charges</t>
  </si>
  <si>
    <t>Provisions pour litiges</t>
  </si>
  <si>
    <t>4A</t>
  </si>
  <si>
    <t>4B</t>
  </si>
  <si>
    <t>4C</t>
  </si>
  <si>
    <t>4D</t>
  </si>
  <si>
    <t>Provisions pour garanties données aux clients</t>
  </si>
  <si>
    <t>4E</t>
  </si>
  <si>
    <t>4G</t>
  </si>
  <si>
    <t>4H</t>
  </si>
  <si>
    <t>Provisions pour pertes sur marchés à terme</t>
  </si>
  <si>
    <t>4J</t>
  </si>
  <si>
    <t>4K</t>
  </si>
  <si>
    <t>4L</t>
  </si>
  <si>
    <t>4M</t>
  </si>
  <si>
    <t>Provisions pour amendes et pénalités</t>
  </si>
  <si>
    <t>4N</t>
  </si>
  <si>
    <t>4P</t>
  </si>
  <si>
    <t>4R</t>
  </si>
  <si>
    <t>4S</t>
  </si>
  <si>
    <t>Provisions pour perte de change</t>
  </si>
  <si>
    <t>4T</t>
  </si>
  <si>
    <t>4U</t>
  </si>
  <si>
    <t>4V</t>
  </si>
  <si>
    <t>4W</t>
  </si>
  <si>
    <t>Provisions pour pensions et obligations similaires</t>
  </si>
  <si>
    <t>4X</t>
  </si>
  <si>
    <t>4Y</t>
  </si>
  <si>
    <t>4Z</t>
  </si>
  <si>
    <t>5A</t>
  </si>
  <si>
    <t>Provisions pour impôts (1)</t>
  </si>
  <si>
    <t>5B</t>
  </si>
  <si>
    <t>5C</t>
  </si>
  <si>
    <t>5D</t>
  </si>
  <si>
    <t>5E</t>
  </si>
  <si>
    <t>Provisions pour renouvellement des immobilisations*</t>
  </si>
  <si>
    <t>5H</t>
  </si>
  <si>
    <t>5J</t>
  </si>
  <si>
    <t>5K</t>
  </si>
  <si>
    <t>Provisions pour grosses réparations</t>
  </si>
  <si>
    <t>5L</t>
  </si>
  <si>
    <t>5M</t>
  </si>
  <si>
    <t>5N</t>
  </si>
  <si>
    <t>5P</t>
  </si>
  <si>
    <t>Provisions pour charges sociales et fiscales sur congés à payer*</t>
  </si>
  <si>
    <t>5R</t>
  </si>
  <si>
    <t>5S</t>
  </si>
  <si>
    <t>5T</t>
  </si>
  <si>
    <t>5U</t>
  </si>
  <si>
    <t>Autres provisions pour risques et charges (1)</t>
  </si>
  <si>
    <t>5V</t>
  </si>
  <si>
    <t>5W</t>
  </si>
  <si>
    <t>5X</t>
  </si>
  <si>
    <t>5Y</t>
  </si>
  <si>
    <t>5Z</t>
  </si>
  <si>
    <t>TV</t>
  </si>
  <si>
    <t>TW</t>
  </si>
  <si>
    <t>TX</t>
  </si>
  <si>
    <t>Provisions pour dépréciation</t>
  </si>
  <si>
    <t>sur immobilisations</t>
  </si>
  <si>
    <t>- incorporelles</t>
  </si>
  <si>
    <t>6A</t>
  </si>
  <si>
    <t>6B</t>
  </si>
  <si>
    <t>6C</t>
  </si>
  <si>
    <t>6D</t>
  </si>
  <si>
    <t>- corporelles</t>
  </si>
  <si>
    <t>6E</t>
  </si>
  <si>
    <t>6G</t>
  </si>
  <si>
    <t>6H</t>
  </si>
  <si>
    <t>- titres mis en équivalence</t>
  </si>
  <si>
    <t>O2</t>
  </si>
  <si>
    <t>03</t>
  </si>
  <si>
    <t>04</t>
  </si>
  <si>
    <t>05</t>
  </si>
  <si>
    <t>- titres de participation</t>
  </si>
  <si>
    <t>9U</t>
  </si>
  <si>
    <t>9V</t>
  </si>
  <si>
    <t>9W</t>
  </si>
  <si>
    <t>9X</t>
  </si>
  <si>
    <t>- autres immobilisations financières</t>
  </si>
  <si>
    <t>06</t>
  </si>
  <si>
    <t>07</t>
  </si>
  <si>
    <t>08</t>
  </si>
  <si>
    <t>09</t>
  </si>
  <si>
    <t>Sur stocks et en-cours</t>
  </si>
  <si>
    <t>6N</t>
  </si>
  <si>
    <t>6P</t>
  </si>
  <si>
    <t>6R</t>
  </si>
  <si>
    <t>6S</t>
  </si>
  <si>
    <t>Sur comptes clients</t>
  </si>
  <si>
    <t>6T</t>
  </si>
  <si>
    <t>6U</t>
  </si>
  <si>
    <t>6V</t>
  </si>
  <si>
    <t>6W</t>
  </si>
  <si>
    <t>Autres provisions pour dépréciation (1)</t>
  </si>
  <si>
    <t>6X</t>
  </si>
  <si>
    <t>6Y</t>
  </si>
  <si>
    <t>6Z</t>
  </si>
  <si>
    <t>7A</t>
  </si>
  <si>
    <t>7B</t>
  </si>
  <si>
    <t>TY</t>
  </si>
  <si>
    <t>TZ</t>
  </si>
  <si>
    <t>UA</t>
  </si>
  <si>
    <t>7C</t>
  </si>
  <si>
    <t>UB</t>
  </si>
  <si>
    <t>UC</t>
  </si>
  <si>
    <t>UD</t>
  </si>
  <si>
    <t>- d'explotation</t>
  </si>
  <si>
    <t>UE</t>
  </si>
  <si>
    <t>UF</t>
  </si>
  <si>
    <t>- financières</t>
  </si>
  <si>
    <t>UG</t>
  </si>
  <si>
    <t>UH</t>
  </si>
  <si>
    <t>- exceptionnelles</t>
  </si>
  <si>
    <t>UJ</t>
  </si>
  <si>
    <t>UK</t>
  </si>
  <si>
    <t>Extrait 2056 - Dépréciation et provisions</t>
  </si>
  <si>
    <t>Montant au début        de l'exercice</t>
  </si>
  <si>
    <t>AUGMENTATIONS     Dotations de l'exercice</t>
  </si>
  <si>
    <t>DIMINUTIONS   Reprises de l'exercice</t>
  </si>
  <si>
    <t>Dont dotations  et reprises</t>
  </si>
  <si>
    <t xml:space="preserve">ÉTAT DES CRÉANCES </t>
  </si>
  <si>
    <t>DE L'ACTIF IMMOBILISE</t>
  </si>
  <si>
    <t>UL</t>
  </si>
  <si>
    <t>UM</t>
  </si>
  <si>
    <t>UN</t>
  </si>
  <si>
    <t>Prêts (1) (2)</t>
  </si>
  <si>
    <t>UP</t>
  </si>
  <si>
    <t>UR</t>
  </si>
  <si>
    <t>US</t>
  </si>
  <si>
    <t>Autres immobilisations financières</t>
  </si>
  <si>
    <t>UT</t>
  </si>
  <si>
    <t>UV</t>
  </si>
  <si>
    <t>UW</t>
  </si>
  <si>
    <t>DE L'ACTIF CIRCULANT</t>
  </si>
  <si>
    <t>VA</t>
  </si>
  <si>
    <t>Autres créances clients</t>
  </si>
  <si>
    <t>UX</t>
  </si>
  <si>
    <t>Créances représentative de titres prêtés *</t>
  </si>
  <si>
    <t>UQ</t>
  </si>
  <si>
    <t>UU</t>
  </si>
  <si>
    <t>Personnel et comptes rattachés</t>
  </si>
  <si>
    <t>UY</t>
  </si>
  <si>
    <t>Sécurité sociale  et autres organismes sociaux</t>
  </si>
  <si>
    <t>UZ</t>
  </si>
  <si>
    <t>Etat et autres collectivités publiques</t>
  </si>
  <si>
    <t>Impôts sur les bénéfices</t>
  </si>
  <si>
    <t>VM</t>
  </si>
  <si>
    <t>Taxe sur la valeur ajoutée</t>
  </si>
  <si>
    <t>VB</t>
  </si>
  <si>
    <t>VN</t>
  </si>
  <si>
    <t>VP</t>
  </si>
  <si>
    <t>Groupe et associés (2)</t>
  </si>
  <si>
    <t>VC</t>
  </si>
  <si>
    <t>Débiteurs divers (dont créances relatives à des opérations de pension de titres)</t>
  </si>
  <si>
    <t>VR</t>
  </si>
  <si>
    <t>Charges  constatées d'avance</t>
  </si>
  <si>
    <t>VS</t>
  </si>
  <si>
    <t>TOTAUX</t>
  </si>
  <si>
    <t>VT</t>
  </si>
  <si>
    <t>VU</t>
  </si>
  <si>
    <t>VV</t>
  </si>
  <si>
    <t>RENVOIS</t>
  </si>
  <si>
    <t>(1)</t>
  </si>
  <si>
    <t>Montant des</t>
  </si>
  <si>
    <t>- Prêts accordés en cours d'exercice</t>
  </si>
  <si>
    <t>VD</t>
  </si>
  <si>
    <t>- Remboursements obtenus en cours d'exercice</t>
  </si>
  <si>
    <t>VE</t>
  </si>
  <si>
    <t>(2)</t>
  </si>
  <si>
    <t>Prêts et avances consentis aux associés (personnes physiques)</t>
  </si>
  <si>
    <t>VF</t>
  </si>
  <si>
    <t>ÉTAT DES DETTES</t>
  </si>
  <si>
    <t>Emprunts obligataires convertibles (1)</t>
  </si>
  <si>
    <t>Autres emprunts obligataires (1)</t>
  </si>
  <si>
    <t>Emprunts et dettes auprès des établissements de crédit (1)</t>
  </si>
  <si>
    <t>à 1 an maximum à l'origine</t>
  </si>
  <si>
    <t>VG</t>
  </si>
  <si>
    <t>à plus d'1 an à l'origine</t>
  </si>
  <si>
    <t>VH</t>
  </si>
  <si>
    <t>Emprunts et dettes financières diverses (1) (2)</t>
  </si>
  <si>
    <t>Fournisseurs et comptes rattachés</t>
  </si>
  <si>
    <t>Sécurité sociale et autres organismes sociaux</t>
  </si>
  <si>
    <t>VW</t>
  </si>
  <si>
    <t>Obligations sautionnées</t>
  </si>
  <si>
    <t>VX</t>
  </si>
  <si>
    <t>Autres impôts, taxes et assimilés</t>
  </si>
  <si>
    <t>VQ</t>
  </si>
  <si>
    <t>VI</t>
  </si>
  <si>
    <t>Autres dettes (dont dettes relatives à des opérations de pension de titres)</t>
  </si>
  <si>
    <t>Dette représentative de titres empruntés *</t>
  </si>
  <si>
    <t>SZ</t>
  </si>
  <si>
    <t>Produits constatés d'avance</t>
  </si>
  <si>
    <t>VY</t>
  </si>
  <si>
    <t>VZ</t>
  </si>
  <si>
    <t>Emprunts souscrits en cours d'exercice</t>
  </si>
  <si>
    <t>VJ</t>
  </si>
  <si>
    <t>Emprunts remboursés en cours d'exercice</t>
  </si>
  <si>
    <t>VK</t>
  </si>
  <si>
    <t>Extrait 2057 - Etat des échéances des créances et des dettes</t>
  </si>
  <si>
    <t>A 1 an au plus
 (2)</t>
  </si>
  <si>
    <t>A plus d'1 an et 5 ans au plus 
(3)</t>
  </si>
  <si>
    <t>A plus de 5 ans 
(4)</t>
  </si>
  <si>
    <t>Montant brut 
1</t>
  </si>
  <si>
    <t>A plus d'un an 
3</t>
  </si>
  <si>
    <t>A 1 an au plus 
2</t>
  </si>
  <si>
    <t>Montant brut
 (1)</t>
  </si>
  <si>
    <t>Extrait 2055 - Amortissements</t>
  </si>
  <si>
    <t xml:space="preserve">Frais d'établissement, de recherche et de développements                            </t>
  </si>
  <si>
    <t xml:space="preserve">Autres postes d'immobilisations incorporelles                                                   </t>
  </si>
  <si>
    <t>Installations générales, agencements et aménagts divers</t>
  </si>
  <si>
    <t>Cadre A</t>
  </si>
  <si>
    <t>Cadre B</t>
  </si>
  <si>
    <t xml:space="preserve">Frais d'acquisition de titres de participations  </t>
  </si>
  <si>
    <t xml:space="preserve">Autres immobilisations incorporelles                                        </t>
  </si>
  <si>
    <t>TOTAL GENERAL non ventilé (NP + NQ + NR)</t>
  </si>
  <si>
    <r>
      <t xml:space="preserve">TOTAL GÉNÉRAL </t>
    </r>
    <r>
      <rPr>
        <b/>
        <sz val="9"/>
        <rFont val="Times New Roman"/>
        <family val="1"/>
      </rPr>
      <t xml:space="preserve"> (I + II +III+IV) </t>
    </r>
  </si>
  <si>
    <t xml:space="preserve">Total I </t>
  </si>
  <si>
    <t xml:space="preserve">Total II </t>
  </si>
  <si>
    <t xml:space="preserve">Total III </t>
  </si>
  <si>
    <t xml:space="preserve">Total IV </t>
  </si>
  <si>
    <t xml:space="preserve">TOTAL I </t>
  </si>
  <si>
    <t xml:space="preserve">TOTAL II </t>
  </si>
  <si>
    <t>Montant  à la fin de l'exercice</t>
  </si>
  <si>
    <t xml:space="preserve">TOTAUX </t>
  </si>
  <si>
    <t xml:space="preserve">Provision pour dépréciation antérieurement constituée </t>
  </si>
  <si>
    <t xml:space="preserve">Total (II) </t>
  </si>
  <si>
    <t>Capital suscrit non appelé                                                                                  (I)</t>
  </si>
  <si>
    <t xml:space="preserve">Total  (III) </t>
  </si>
  <si>
    <t xml:space="preserve">Total général (I à VI) </t>
  </si>
  <si>
    <t>Prime de remboursement des obligations                                                           (V)</t>
  </si>
  <si>
    <t xml:space="preserve">Total (I) </t>
  </si>
  <si>
    <t xml:space="preserve">Total (III) </t>
  </si>
  <si>
    <t xml:space="preserve">Total (IV) </t>
  </si>
  <si>
    <t xml:space="preserve">(V) </t>
  </si>
  <si>
    <t>Total général  (I à V)</t>
  </si>
  <si>
    <t>Informations complémentaires</t>
  </si>
  <si>
    <t xml:space="preserve">Bilan avant répartition ? </t>
  </si>
  <si>
    <t xml:space="preserve">Tatal des produits financiers  </t>
  </si>
  <si>
    <t xml:space="preserve">Total des charges financières  </t>
  </si>
  <si>
    <t xml:space="preserve">2 - Résultat financier  </t>
  </si>
  <si>
    <t xml:space="preserve">3 - Résultat Courant Avant Impôts  </t>
  </si>
  <si>
    <t xml:space="preserve">Total des charges d'exploitation (3)  </t>
  </si>
  <si>
    <t xml:space="preserve">Total des produits d'exploitation (2) </t>
  </si>
  <si>
    <t xml:space="preserve">Participation des salariés aux résultats de l'entreprise         </t>
  </si>
  <si>
    <t xml:space="preserve">Impôts sur les bénéfices                                                         </t>
  </si>
  <si>
    <t xml:space="preserve">(I) </t>
  </si>
  <si>
    <t xml:space="preserve">(II) </t>
  </si>
  <si>
    <t xml:space="preserve">(VI) </t>
  </si>
  <si>
    <t xml:space="preserve">(V - IV) </t>
  </si>
  <si>
    <t xml:space="preserve">(I - II + III - IV + V - VI) </t>
  </si>
  <si>
    <t xml:space="preserve">(IX) </t>
  </si>
  <si>
    <t xml:space="preserve">(X) </t>
  </si>
  <si>
    <t>Dont</t>
  </si>
  <si>
    <t>- Produits de locations immobilières</t>
  </si>
  <si>
    <t>- Produits d'exploitation/exercices antérieurs (détaillés en (8) ci-dessous)</t>
  </si>
  <si>
    <t>(3)</t>
  </si>
  <si>
    <t>- Crédit bail immobilier</t>
  </si>
  <si>
    <t>- Crédit bail mobilier</t>
  </si>
  <si>
    <t>(4)</t>
  </si>
  <si>
    <t>Dont charges d'exploitation/exercices antérieurs (détaillés en (8) ci-dessous)</t>
  </si>
  <si>
    <t>(5)</t>
  </si>
  <si>
    <t>(6)</t>
  </si>
  <si>
    <t>(6bis)</t>
  </si>
  <si>
    <t xml:space="preserve">Chiffre d'affaire </t>
  </si>
  <si>
    <t xml:space="preserve"> 1 - Résultat d'exploitation  </t>
  </si>
  <si>
    <t xml:space="preserve">Total des produits exceptionnels (7) </t>
  </si>
  <si>
    <t xml:space="preserve">(VII) </t>
  </si>
  <si>
    <t>Total des charges exceptionnelles (7)</t>
  </si>
  <si>
    <t xml:space="preserve">4 - Résultat exceptionnel </t>
  </si>
  <si>
    <t xml:space="preserve">(VII - VIII) </t>
  </si>
  <si>
    <t xml:space="preserve"> (VIII) </t>
  </si>
  <si>
    <t xml:space="preserve">Total des produits (I + III + V + VII) </t>
  </si>
  <si>
    <t xml:space="preserve">Total des charges (II + IV + VI + VIII + IX + X) </t>
  </si>
  <si>
    <t>(9)</t>
  </si>
  <si>
    <t>(10)</t>
  </si>
  <si>
    <t>(11)</t>
  </si>
  <si>
    <t>(12)</t>
  </si>
  <si>
    <t>(7)</t>
  </si>
  <si>
    <t>(8)</t>
  </si>
  <si>
    <t>Exercice N</t>
  </si>
  <si>
    <t>V.C.E.A.C</t>
  </si>
  <si>
    <t>Détails des produits et charges exceptionnels</t>
  </si>
  <si>
    <t>Charges exceptionnelles</t>
  </si>
  <si>
    <t>Quote-part de subvention d'investissement virée au compte de résultat</t>
  </si>
  <si>
    <t xml:space="preserve">Détails des produits et charges sur exercices antérieurs </t>
  </si>
  <si>
    <t>Charges antérieures</t>
  </si>
  <si>
    <t>Produits antérieurs</t>
  </si>
  <si>
    <t>Dont produits nets partiels sur opérations à long terme</t>
  </si>
  <si>
    <t>Dont produits concernant les entreprises liées</t>
  </si>
  <si>
    <t>Dont intérêts concernant les entreprises liées</t>
  </si>
  <si>
    <t>Dont dons faits aux organismes d'intérêts général (art. 238 bis du C.G.I)</t>
  </si>
  <si>
    <t>Dont transfert de charges</t>
  </si>
  <si>
    <t>Dont cotisations personnelles de l'exploitant 
Primes et cotisations complémentaires personnelles facultatives</t>
  </si>
  <si>
    <t>Dont redevances pour concessions de brevets, de licences (produits)</t>
  </si>
  <si>
    <t>Dont redevances pour concessions de brevets, de licences (charges)</t>
  </si>
  <si>
    <t xml:space="preserve">Bénéfices attribué ou perte transférée   </t>
  </si>
  <si>
    <t xml:space="preserve">Perte supportée ou bénéfice transféré  </t>
  </si>
  <si>
    <t xml:space="preserve">(III) </t>
  </si>
  <si>
    <t xml:space="preserve"> (IV) </t>
  </si>
  <si>
    <t xml:space="preserve">(I - II) </t>
  </si>
  <si>
    <r>
      <t xml:space="preserve">                                                                        TOTAL</t>
    </r>
    <r>
      <rPr>
        <b/>
        <sz val="7"/>
        <rFont val="Times New Roman"/>
        <family val="1"/>
      </rPr>
      <t xml:space="preserve"> I  </t>
    </r>
  </si>
  <si>
    <r>
      <t>TOTAL</t>
    </r>
    <r>
      <rPr>
        <b/>
        <sz val="7"/>
        <rFont val="Times New Roman"/>
        <family val="1"/>
      </rPr>
      <t xml:space="preserve"> II  </t>
    </r>
  </si>
  <si>
    <r>
      <t>TOTAL</t>
    </r>
    <r>
      <rPr>
        <b/>
        <sz val="7"/>
        <rFont val="Times New Roman"/>
        <family val="1"/>
      </rPr>
      <t xml:space="preserve"> III  </t>
    </r>
  </si>
  <si>
    <r>
      <t xml:space="preserve">TOTAL GÉNÉRAL </t>
    </r>
    <r>
      <rPr>
        <b/>
        <sz val="7"/>
        <rFont val="Times New Roman"/>
        <family val="1"/>
      </rPr>
      <t xml:space="preserve"> (I + II + III)  </t>
    </r>
  </si>
  <si>
    <t>Biens</t>
  </si>
  <si>
    <t>Services</t>
  </si>
  <si>
    <t>France</t>
  </si>
  <si>
    <t>Exportation et livraison intracommunautaires</t>
  </si>
  <si>
    <t>Total</t>
  </si>
  <si>
    <t xml:space="preserve">Production vendue </t>
  </si>
  <si>
    <t>Transfert de charges financier</t>
  </si>
  <si>
    <t>Transfert de charges exceptionnel</t>
  </si>
  <si>
    <t>RADP, transfert de charges</t>
  </si>
  <si>
    <t>Autres produits exceptionnels (sur opérations en capital)</t>
  </si>
  <si>
    <t>Autres charges exceptionnelles (sur opérations en capital)</t>
  </si>
  <si>
    <t>Charges du personnel extérieur</t>
  </si>
  <si>
    <t>Subvention d'exploitation reçue en complément de prix de vente</t>
  </si>
  <si>
    <t>Sous traitance de fabrication</t>
  </si>
  <si>
    <t>TODO</t>
  </si>
  <si>
    <t>+ Transfert de charges pour les frais d'émission d'emprunt à étaler</t>
  </si>
  <si>
    <t>Dettes fiscales et sociales (sans les impôts sur les bénéfices)</t>
  </si>
  <si>
    <t>Dettes fiscales (impôts sur les bénéfices)</t>
  </si>
  <si>
    <t>Autres créances (exploitation et hors exploitation)</t>
  </si>
  <si>
    <t>Autres dettes (exploitation + hors exploitation)</t>
  </si>
  <si>
    <t>Postes de la liasse fiscale et comptes du PCG</t>
  </si>
  <si>
    <t>Situation nette</t>
  </si>
  <si>
    <t>CZ</t>
  </si>
  <si>
    <t>KD</t>
  </si>
  <si>
    <t>KG</t>
  </si>
  <si>
    <t>KJ</t>
  </si>
  <si>
    <t>KM</t>
  </si>
  <si>
    <t>KP</t>
  </si>
  <si>
    <t>KS</t>
  </si>
  <si>
    <t>KV</t>
  </si>
  <si>
    <t>KY</t>
  </si>
  <si>
    <t>LB</t>
  </si>
  <si>
    <t>LE</t>
  </si>
  <si>
    <t>LH</t>
  </si>
  <si>
    <t>LK</t>
  </si>
  <si>
    <t>LN</t>
  </si>
  <si>
    <t>8G</t>
  </si>
  <si>
    <t>8U</t>
  </si>
  <si>
    <t>1P</t>
  </si>
  <si>
    <t>1T</t>
  </si>
  <si>
    <t>LQ</t>
  </si>
  <si>
    <t>0G</t>
  </si>
  <si>
    <t>D8</t>
  </si>
  <si>
    <t>KE</t>
  </si>
  <si>
    <t>KH</t>
  </si>
  <si>
    <t>KK</t>
  </si>
  <si>
    <t>KN</t>
  </si>
  <si>
    <t>KQ</t>
  </si>
  <si>
    <t>KT</t>
  </si>
  <si>
    <t>KW</t>
  </si>
  <si>
    <t>KZ</t>
  </si>
  <si>
    <t>LC</t>
  </si>
  <si>
    <t>LF</t>
  </si>
  <si>
    <t>LI</t>
  </si>
  <si>
    <t>LL</t>
  </si>
  <si>
    <t>LO</t>
  </si>
  <si>
    <t>8M</t>
  </si>
  <si>
    <t>8V</t>
  </si>
  <si>
    <t>1R</t>
  </si>
  <si>
    <t>1U</t>
  </si>
  <si>
    <t>LR</t>
  </si>
  <si>
    <t>0H</t>
  </si>
  <si>
    <t>D9</t>
  </si>
  <si>
    <t>KF</t>
  </si>
  <si>
    <t>KI</t>
  </si>
  <si>
    <t>KL</t>
  </si>
  <si>
    <t>KO</t>
  </si>
  <si>
    <t>KR</t>
  </si>
  <si>
    <t>KU</t>
  </si>
  <si>
    <t>KX</t>
  </si>
  <si>
    <t>LA</t>
  </si>
  <si>
    <t>LD</t>
  </si>
  <si>
    <t>LG</t>
  </si>
  <si>
    <t>LJ</t>
  </si>
  <si>
    <t>LM</t>
  </si>
  <si>
    <t>LP</t>
  </si>
  <si>
    <t>8T</t>
  </si>
  <si>
    <t>8W</t>
  </si>
  <si>
    <t>1S</t>
  </si>
  <si>
    <t>1V</t>
  </si>
  <si>
    <t>LS</t>
  </si>
  <si>
    <t>0J</t>
  </si>
  <si>
    <t>IN</t>
  </si>
  <si>
    <t>IO</t>
  </si>
  <si>
    <t>IP</t>
  </si>
  <si>
    <t>IQ</t>
  </si>
  <si>
    <t>IR</t>
  </si>
  <si>
    <t>IS</t>
  </si>
  <si>
    <t>IT</t>
  </si>
  <si>
    <t>IU</t>
  </si>
  <si>
    <t>IV</t>
  </si>
  <si>
    <t>IW</t>
  </si>
  <si>
    <t>IX</t>
  </si>
  <si>
    <t>IY</t>
  </si>
  <si>
    <t>IZ</t>
  </si>
  <si>
    <t>I0</t>
  </si>
  <si>
    <t>I1</t>
  </si>
  <si>
    <t>I2</t>
  </si>
  <si>
    <t>I3</t>
  </si>
  <si>
    <t>I4</t>
  </si>
  <si>
    <t>CO</t>
  </si>
  <si>
    <t>LV</t>
  </si>
  <si>
    <t>LX</t>
  </si>
  <si>
    <t>MA</t>
  </si>
  <si>
    <t>MD</t>
  </si>
  <si>
    <t>MG</t>
  </si>
  <si>
    <t>MJ</t>
  </si>
  <si>
    <t>MM</t>
  </si>
  <si>
    <t>MP</t>
  </si>
  <si>
    <t>MS</t>
  </si>
  <si>
    <t>MV</t>
  </si>
  <si>
    <t>MZ</t>
  </si>
  <si>
    <t>ND</t>
  </si>
  <si>
    <t>NG</t>
  </si>
  <si>
    <t>0U</t>
  </si>
  <si>
    <t>0X</t>
  </si>
  <si>
    <t>2B</t>
  </si>
  <si>
    <t>2E</t>
  </si>
  <si>
    <t>NJ</t>
  </si>
  <si>
    <t>0K</t>
  </si>
  <si>
    <t>DO</t>
  </si>
  <si>
    <t>LW</t>
  </si>
  <si>
    <t>LY</t>
  </si>
  <si>
    <t>MB</t>
  </si>
  <si>
    <t>ME</t>
  </si>
  <si>
    <t>MH</t>
  </si>
  <si>
    <t>MK</t>
  </si>
  <si>
    <t>MN</t>
  </si>
  <si>
    <t>MQ</t>
  </si>
  <si>
    <t>MT</t>
  </si>
  <si>
    <t>MW</t>
  </si>
  <si>
    <t>NA</t>
  </si>
  <si>
    <t>NE</t>
  </si>
  <si>
    <t>NH</t>
  </si>
  <si>
    <t>0V</t>
  </si>
  <si>
    <t>0Y</t>
  </si>
  <si>
    <t>2C</t>
  </si>
  <si>
    <t>2F</t>
  </si>
  <si>
    <t>NK</t>
  </si>
  <si>
    <t>0L</t>
  </si>
  <si>
    <t>D7</t>
  </si>
  <si>
    <t>LZ</t>
  </si>
  <si>
    <t>MC</t>
  </si>
  <si>
    <t>MF</t>
  </si>
  <si>
    <t>MI</t>
  </si>
  <si>
    <t>ML</t>
  </si>
  <si>
    <t>MO</t>
  </si>
  <si>
    <t>MR</t>
  </si>
  <si>
    <t>MU</t>
  </si>
  <si>
    <t>MX</t>
  </si>
  <si>
    <t>NB</t>
  </si>
  <si>
    <t>NF</t>
  </si>
  <si>
    <t>NI</t>
  </si>
  <si>
    <t>0W</t>
  </si>
  <si>
    <t>0Z</t>
  </si>
  <si>
    <t>2D</t>
  </si>
  <si>
    <t>2G</t>
  </si>
  <si>
    <t>2H</t>
  </si>
  <si>
    <t>OM</t>
  </si>
  <si>
    <r>
      <t xml:space="preserve">Montant des amortissements au début </t>
    </r>
    <r>
      <rPr>
        <b/>
        <sz val="9"/>
        <color rgb="FFFF0000"/>
        <rFont val="Arial"/>
        <family val="2"/>
      </rPr>
      <t>de l'exercice</t>
    </r>
  </si>
  <si>
    <r>
      <t xml:space="preserve">Augmentations : dotations </t>
    </r>
    <r>
      <rPr>
        <b/>
        <sz val="9"/>
        <color rgb="FFFF0000"/>
        <rFont val="Arial"/>
        <family val="2"/>
      </rPr>
      <t>de l'exercice</t>
    </r>
  </si>
  <si>
    <r>
      <t xml:space="preserve">                                                                                                                     </t>
    </r>
    <r>
      <rPr>
        <sz val="9"/>
        <rFont val="Times New Roman"/>
        <family val="1"/>
      </rPr>
      <t xml:space="preserve"> </t>
    </r>
  </si>
  <si>
    <t>CY</t>
  </si>
  <si>
    <t>PE</t>
  </si>
  <si>
    <t>PI</t>
  </si>
  <si>
    <t>PM</t>
  </si>
  <si>
    <t>PR</t>
  </si>
  <si>
    <t>PV</t>
  </si>
  <si>
    <t>PZ</t>
  </si>
  <si>
    <t>QD</t>
  </si>
  <si>
    <t>QH</t>
  </si>
  <si>
    <t>QL</t>
  </si>
  <si>
    <t>QP</t>
  </si>
  <si>
    <t>QU</t>
  </si>
  <si>
    <t>0N</t>
  </si>
  <si>
    <t>EL</t>
  </si>
  <si>
    <t>PF</t>
  </si>
  <si>
    <t>PJ</t>
  </si>
  <si>
    <t>PN</t>
  </si>
  <si>
    <t>PS</t>
  </si>
  <si>
    <t>PW</t>
  </si>
  <si>
    <t>QA</t>
  </si>
  <si>
    <t>QE</t>
  </si>
  <si>
    <t>QI</t>
  </si>
  <si>
    <t>QM</t>
  </si>
  <si>
    <t>QR</t>
  </si>
  <si>
    <t>QV</t>
  </si>
  <si>
    <t>0P</t>
  </si>
  <si>
    <t>EM</t>
  </si>
  <si>
    <t>PG</t>
  </si>
  <si>
    <t>PK</t>
  </si>
  <si>
    <t>PO</t>
  </si>
  <si>
    <t>PT</t>
  </si>
  <si>
    <t>PX</t>
  </si>
  <si>
    <t>QB</t>
  </si>
  <si>
    <t>QF</t>
  </si>
  <si>
    <t>QJ</t>
  </si>
  <si>
    <t>QN</t>
  </si>
  <si>
    <t>QS</t>
  </si>
  <si>
    <t>QW</t>
  </si>
  <si>
    <t>0Q</t>
  </si>
  <si>
    <t>EN</t>
  </si>
  <si>
    <t>PH</t>
  </si>
  <si>
    <t>PL</t>
  </si>
  <si>
    <t>PQ</t>
  </si>
  <si>
    <t>PU</t>
  </si>
  <si>
    <t>PY</t>
  </si>
  <si>
    <t>QC</t>
  </si>
  <si>
    <t>QG</t>
  </si>
  <si>
    <t>QK</t>
  </si>
  <si>
    <t>QO</t>
  </si>
  <si>
    <t>QT</t>
  </si>
  <si>
    <t>QX</t>
  </si>
  <si>
    <t>0R</t>
  </si>
  <si>
    <t>M9</t>
  </si>
  <si>
    <t>N7</t>
  </si>
  <si>
    <t>Q2</t>
  </si>
  <si>
    <t>Q9</t>
  </si>
  <si>
    <t>R7</t>
  </si>
  <si>
    <t>S5</t>
  </si>
  <si>
    <t>T3</t>
  </si>
  <si>
    <t>U1</t>
  </si>
  <si>
    <t>U8</t>
  </si>
  <si>
    <t>V6</t>
  </si>
  <si>
    <t>W4</t>
  </si>
  <si>
    <t>X2</t>
  </si>
  <si>
    <t>NL</t>
  </si>
  <si>
    <t>X3</t>
  </si>
  <si>
    <t>W5</t>
  </si>
  <si>
    <t>V7</t>
  </si>
  <si>
    <t>U9</t>
  </si>
  <si>
    <t>U2</t>
  </si>
  <si>
    <t>T4</t>
  </si>
  <si>
    <t>S6</t>
  </si>
  <si>
    <t>R8</t>
  </si>
  <si>
    <t>R1</t>
  </si>
  <si>
    <t>Q3</t>
  </si>
  <si>
    <t>N1</t>
  </si>
  <si>
    <t>N2</t>
  </si>
  <si>
    <t>P6</t>
  </si>
  <si>
    <t>Q4</t>
  </si>
  <si>
    <t>R2</t>
  </si>
  <si>
    <t>R9</t>
  </si>
  <si>
    <t>S7</t>
  </si>
  <si>
    <t>T5</t>
  </si>
  <si>
    <t>U3</t>
  </si>
  <si>
    <t>V1</t>
  </si>
  <si>
    <t>V8</t>
  </si>
  <si>
    <t>W6</t>
  </si>
  <si>
    <t>X4</t>
  </si>
  <si>
    <t>N3</t>
  </si>
  <si>
    <t>P7</t>
  </si>
  <si>
    <t>Q5</t>
  </si>
  <si>
    <t>R3</t>
  </si>
  <si>
    <t>S1</t>
  </si>
  <si>
    <t>S8</t>
  </si>
  <si>
    <t>T6</t>
  </si>
  <si>
    <t>U4</t>
  </si>
  <si>
    <t>V2</t>
  </si>
  <si>
    <t>V9</t>
  </si>
  <si>
    <t>W7</t>
  </si>
  <si>
    <t>X5</t>
  </si>
  <si>
    <t>NM</t>
  </si>
  <si>
    <t>N4</t>
  </si>
  <si>
    <t>P8</t>
  </si>
  <si>
    <t>Q6</t>
  </si>
  <si>
    <t>R4</t>
  </si>
  <si>
    <t>S2</t>
  </si>
  <si>
    <t>S3</t>
  </si>
  <si>
    <t>S4</t>
  </si>
  <si>
    <t>Q1</t>
  </si>
  <si>
    <t>P9</t>
  </si>
  <si>
    <t>N5</t>
  </si>
  <si>
    <t>N6</t>
  </si>
  <si>
    <t>Q7</t>
  </si>
  <si>
    <t>Q8</t>
  </si>
  <si>
    <t>R5</t>
  </si>
  <si>
    <t>R6</t>
  </si>
  <si>
    <t>S9</t>
  </si>
  <si>
    <t>T1</t>
  </si>
  <si>
    <t>T2</t>
  </si>
  <si>
    <t>T7</t>
  </si>
  <si>
    <t>T8</t>
  </si>
  <si>
    <t>T9</t>
  </si>
  <si>
    <t>X1</t>
  </si>
  <si>
    <t>W8</t>
  </si>
  <si>
    <t>W9</t>
  </si>
  <si>
    <t>X6</t>
  </si>
  <si>
    <t>X7</t>
  </si>
  <si>
    <t>X8</t>
  </si>
  <si>
    <t>N8</t>
  </si>
  <si>
    <t>NO</t>
  </si>
  <si>
    <t>U5</t>
  </si>
  <si>
    <t>U6</t>
  </si>
  <si>
    <t>U7</t>
  </si>
  <si>
    <t>V3</t>
  </si>
  <si>
    <t>V4</t>
  </si>
  <si>
    <t>V5</t>
  </si>
  <si>
    <t>W1</t>
  </si>
  <si>
    <t>W2</t>
  </si>
  <si>
    <t>W3</t>
  </si>
  <si>
    <t xml:space="preserve">C'est le solde du compte 169. 
Correspond à l'écriture 512 et 169 à 16. </t>
  </si>
  <si>
    <t>à l'origine de 6272 à 512</t>
  </si>
  <si>
    <t>Correspond à l'écriture 686 à 169</t>
  </si>
  <si>
    <t>Correspond à l'écriture 681 à 481</t>
  </si>
  <si>
    <t>Solde créditeurs de début</t>
  </si>
  <si>
    <t>(681 ; 686 ; 687) à (14 ; 15 ; 29 ; 39 ; 49 ; 59)</t>
  </si>
  <si>
    <t>(14 ; 15 ; 29 ; 39 ; 49 ; 59) à (781 ; 786 ; 787)</t>
  </si>
  <si>
    <t>Comptes 14</t>
  </si>
  <si>
    <t>Comptes 15</t>
  </si>
  <si>
    <t>Comptes 29 ; 39 ; 49 ; 59</t>
  </si>
  <si>
    <t>compte 681</t>
  </si>
  <si>
    <t>compte 686</t>
  </si>
  <si>
    <t>compte 687</t>
  </si>
  <si>
    <t>compte 781</t>
  </si>
  <si>
    <t>compte 786</t>
  </si>
  <si>
    <t>compte 787</t>
  </si>
  <si>
    <t>Ce sont les cautions généralement</t>
  </si>
  <si>
    <t>Variation de stock de marchandises ==&gt; SI - SF</t>
  </si>
  <si>
    <t>Variation de stock de matières permières et approvisionnements ==&gt; SI - SF</t>
  </si>
  <si>
    <t>seront inclus dans les dettes hors exploitation. 
Cf. annexes</t>
  </si>
  <si>
    <r>
      <t xml:space="preserve">"valeur à neuf" ou bien "valeur à neuf" - valeur de rachat". 
</t>
    </r>
    <r>
      <rPr>
        <b/>
        <sz val="10"/>
        <color rgb="FFFF0000"/>
        <rFont val="Arial"/>
        <family val="2"/>
      </rPr>
      <t>Dans le bilan on ne prend pas en compte les intérêts liés au crédit bail.</t>
    </r>
  </si>
  <si>
    <t>hors 
exploitation
(dettes diverses)</t>
  </si>
  <si>
    <t>Autres dettes diverses</t>
  </si>
  <si>
    <r>
      <t>Ce poste n'est pas le même s'il s'agit d'un bilan de base ou d'un bilan développé. En effet, dans un bilan de base, ce poste inclus "</t>
    </r>
    <r>
      <rPr>
        <b/>
        <sz val="10"/>
        <color theme="6" tint="-0.249977111117893"/>
        <rFont val="Arial"/>
        <family val="2"/>
      </rPr>
      <t>les comptes courant créditeurs</t>
    </r>
    <r>
      <rPr>
        <sz val="10"/>
        <rFont val="Arial"/>
        <family val="2"/>
      </rPr>
      <t xml:space="preserve">" 451C ; 455C ; 458C et tout ou partie de 456C. Ce n'est pas le cas pour un bilan développé où ces comptes sont dans le poste </t>
    </r>
    <r>
      <rPr>
        <b/>
        <sz val="10"/>
        <color rgb="FFFF0000"/>
        <rFont val="Arial"/>
        <family val="2"/>
      </rPr>
      <t xml:space="preserve">"Autres dettes diverses".
</t>
    </r>
    <r>
      <rPr>
        <b/>
        <sz val="10"/>
        <color theme="6" tint="-0.249977111117893"/>
        <rFont val="Arial"/>
        <family val="2"/>
      </rPr>
      <t>==&gt; C'est pour celà le traitement n'est pas le même pour ces comptes courants à long terme ou à court terme</t>
    </r>
  </si>
  <si>
    <r>
      <t>partie de "</t>
    </r>
    <r>
      <rPr>
        <b/>
        <sz val="10"/>
        <color rgb="FFFF0000"/>
        <rFont val="Arial"/>
        <family val="2"/>
      </rPr>
      <t>emprunts et dettes financières divers</t>
    </r>
    <r>
      <rPr>
        <sz val="10"/>
        <rFont val="Arial"/>
        <family val="2"/>
      </rPr>
      <t xml:space="preserve">" (DV) dans un </t>
    </r>
    <r>
      <rPr>
        <b/>
        <sz val="12"/>
        <color rgb="FFFF0000"/>
        <rFont val="Arial"/>
        <family val="2"/>
      </rPr>
      <t>bilan de base</t>
    </r>
  </si>
  <si>
    <r>
      <t>partie de "</t>
    </r>
    <r>
      <rPr>
        <b/>
        <sz val="10"/>
        <color rgb="FFFF0000"/>
        <rFont val="Arial"/>
        <family val="2"/>
      </rPr>
      <t>autres dettes diverses hors exploitation</t>
    </r>
    <r>
      <rPr>
        <sz val="10"/>
        <rFont val="Arial"/>
        <family val="2"/>
      </rPr>
      <t xml:space="preserve">" du </t>
    </r>
    <r>
      <rPr>
        <b/>
        <sz val="12"/>
        <color rgb="FFFF0000"/>
        <rFont val="Arial"/>
        <family val="2"/>
      </rPr>
      <t>bilan développé</t>
    </r>
  </si>
  <si>
    <r>
      <t>cf commentaire dans "Emprunts et dettes divers".
Inclus dans le poste "</t>
    </r>
    <r>
      <rPr>
        <b/>
        <sz val="11"/>
        <color rgb="FFFF0000"/>
        <rFont val="Arial"/>
        <family val="2"/>
      </rPr>
      <t>Autres dettes diverses hors exploitation</t>
    </r>
    <r>
      <rPr>
        <sz val="10"/>
        <rFont val="Arial"/>
        <family val="2"/>
      </rPr>
      <t xml:space="preserve">" du </t>
    </r>
    <r>
      <rPr>
        <b/>
        <sz val="14"/>
        <color rgb="FFFF0000"/>
        <rFont val="Arial"/>
        <family val="2"/>
      </rPr>
      <t>bilan développé</t>
    </r>
    <r>
      <rPr>
        <sz val="10"/>
        <rFont val="Arial"/>
        <family val="2"/>
      </rPr>
      <t xml:space="preserve">
cf. annexes ou renvois ou 2057 "état des échéance des dettes" ==&gt; ligne groupe et associés ==&gt; </t>
    </r>
    <r>
      <rPr>
        <b/>
        <sz val="10"/>
        <rFont val="Arial"/>
        <family val="2"/>
      </rPr>
      <t>part à plus d'un an
TODO Formule à corriger ==&gt; tenir compte des annexes 2057</t>
    </r>
  </si>
  <si>
    <r>
      <t>cf commentaire dans "Emprunts et dettes divers".
Inclus dans le poste "</t>
    </r>
    <r>
      <rPr>
        <b/>
        <sz val="11"/>
        <color rgb="FFFF0000"/>
        <rFont val="Arial"/>
        <family val="2"/>
      </rPr>
      <t>Emprunts et dettes divers</t>
    </r>
    <r>
      <rPr>
        <sz val="10"/>
        <rFont val="Arial"/>
        <family val="2"/>
      </rPr>
      <t xml:space="preserve">" du </t>
    </r>
    <r>
      <rPr>
        <b/>
        <sz val="14"/>
        <color rgb="FFFF0000"/>
        <rFont val="Arial"/>
        <family val="2"/>
      </rPr>
      <t>bilan de base</t>
    </r>
    <r>
      <rPr>
        <sz val="10"/>
        <rFont val="Arial"/>
        <family val="2"/>
      </rPr>
      <t xml:space="preserve">
cf. annexes ou renvois ou 2057 "état des échéance des dettes" ==&gt; ligne groupe et associés ==&gt; </t>
    </r>
    <r>
      <rPr>
        <b/>
        <sz val="10"/>
        <rFont val="Arial"/>
        <family val="2"/>
      </rPr>
      <t xml:space="preserve">part à moins d'un an
</t>
    </r>
    <r>
      <rPr>
        <sz val="10"/>
        <rFont val="Arial"/>
        <family val="2"/>
      </rPr>
      <t xml:space="preserve">==&gt; sera inclus dans la trésorerie passive. 
==&gt; On les enlève dans le cas du bilan de base car elle sont déjà inclus dans "emprunts et dettes financières divers" (DV) déjà calculé pour ne garder que la part à long terme. 
</t>
    </r>
    <r>
      <rPr>
        <b/>
        <sz val="10"/>
        <rFont val="Arial"/>
        <family val="2"/>
      </rPr>
      <t>TODO Formule à corriger ==&gt; tenir compte des annexes 2057</t>
    </r>
  </si>
  <si>
    <t>Emprunt et dettes financières divers</t>
  </si>
  <si>
    <t>Emprunt</t>
  </si>
  <si>
    <r>
      <t xml:space="preserve">Produits constatés d'avance (4)  </t>
    </r>
    <r>
      <rPr>
        <b/>
        <sz val="10"/>
        <rFont val="Arial"/>
        <family val="2"/>
      </rPr>
      <t>(exploitation + hors exploitation)</t>
    </r>
  </si>
  <si>
    <r>
      <t xml:space="preserve">sera rajouté dans les dettes hors exploitation.
</t>
    </r>
    <r>
      <rPr>
        <b/>
        <sz val="11"/>
        <color rgb="FFFF0000"/>
        <rFont val="Arial"/>
        <family val="2"/>
      </rPr>
      <t>Attention</t>
    </r>
    <r>
      <rPr>
        <sz val="10"/>
        <rFont val="Arial"/>
        <family val="2"/>
      </rPr>
      <t xml:space="preserve"> ce n'est pas le compte 695 du compte de résultat. C'est plutôt le solde du compte 444 du passif car l'entreprise a probablement déjà payé des accomptes au cours de l'année. 
cf annexes ou renvois ou 2057 "état des 
échéances des dettes"</t>
    </r>
  </si>
  <si>
    <t>cf annexes 2057</t>
  </si>
  <si>
    <t>Actif immobilisé net de N-1</t>
  </si>
  <si>
    <t>+ Valeur des biens prix en crédit bail pendant ou avant N-1</t>
  </si>
  <si>
    <t>Valeur à neuf des biens prix en crédit bail</t>
  </si>
  <si>
    <t>Valeur de rachat des biens en crédit bail</t>
  </si>
  <si>
    <t>+ Part des E.C.A liée aux prêts accordés par l'entreprise</t>
  </si>
  <si>
    <t>- Part des E.C.P liée aux prêts accordés par l'entreprise</t>
  </si>
  <si>
    <t>+ Frais d'émission des emprunts à étaler (si assimilés à des A.I.M)</t>
  </si>
  <si>
    <t>- Intérêts courus sur prêts accordés par l'entreprise</t>
  </si>
  <si>
    <t>Crédit bail</t>
  </si>
  <si>
    <t>Bilan de base ?</t>
  </si>
  <si>
    <t>Transferts de charges</t>
  </si>
  <si>
    <t>Ecart de Conversion</t>
  </si>
  <si>
    <t>Ecart de Conversion Actif (E.C.A)</t>
  </si>
  <si>
    <t>Ecart de Conversion Passif (E.C.P)</t>
  </si>
  <si>
    <t>Immobilisations brutes de N-1</t>
  </si>
  <si>
    <t>Actif circulant brut de N-1</t>
  </si>
  <si>
    <t>Actif circulant net de N-1</t>
  </si>
  <si>
    <r>
      <t xml:space="preserve">cf. bilan comptable N-1. 
</t>
    </r>
    <r>
      <rPr>
        <sz val="10"/>
        <color rgb="FFFF0000"/>
        <rFont val="Arial"/>
        <family val="2"/>
      </rPr>
      <t>Attention</t>
    </r>
    <r>
      <rPr>
        <sz val="10"/>
        <rFont val="Arial"/>
        <family val="2"/>
      </rPr>
      <t xml:space="preserve"> : les charges constatées d'avance sont incluses dans ce montant</t>
    </r>
  </si>
  <si>
    <t>+ Dépréciations sur actif circulant</t>
  </si>
  <si>
    <t>cf. 2056 "Dépréciations &amp; provisions" ; 
==&gt; Stock et en-cours + Clients + Autres==&gt; cellules 6N + 6T + 6X</t>
  </si>
  <si>
    <t>+ E.E.N.E de N-1</t>
  </si>
  <si>
    <t>+ Part des E.C.A liée à l'actif circulant</t>
  </si>
  <si>
    <t>- Part des E.C.P liée à l'actif circulant</t>
  </si>
  <si>
    <t>+ Intérêts courus sur prêts accordés par l'entreprise</t>
  </si>
  <si>
    <t>à confirmer</t>
  </si>
  <si>
    <t>Financement propres de N-1</t>
  </si>
  <si>
    <t>Capitaux propres de N-1</t>
  </si>
  <si>
    <r>
      <t xml:space="preserve">+ Frais d'émission des emprunts à étaler </t>
    </r>
    <r>
      <rPr>
        <sz val="10"/>
        <color rgb="FFFF0000"/>
        <rFont val="Arial"/>
        <family val="2"/>
      </rPr>
      <t>(si assimilés à des A.I.M)</t>
    </r>
  </si>
  <si>
    <r>
      <t xml:space="preserve">+ Avances conditionnées </t>
    </r>
    <r>
      <rPr>
        <sz val="10"/>
        <color rgb="FFFF0000"/>
        <rFont val="Arial"/>
        <family val="2"/>
      </rPr>
      <t>(si assimilés à des financements propres)</t>
    </r>
  </si>
  <si>
    <t>Ils inclus donc les provisions réglementées de fin N-1</t>
  </si>
  <si>
    <t>C'est le total des amortissement au début N. 
Cf. 2055 "Amortissements" ; cadre A ; colonne "Montant au début de l'exercice" ; ligne "Total général ==&gt; cellule 0N</t>
  </si>
  <si>
    <t>+ Amortissement de N-1</t>
  </si>
  <si>
    <t>C'est le total des dépréciations et provisions (sauf provisions réglementées) de début N ==&gt; somme des cellules 5Z + 7B</t>
  </si>
  <si>
    <t>+ Amortissements cumulés des crédits bail jusqu'à N-1</t>
  </si>
  <si>
    <r>
      <t xml:space="preserve">+ Dividendes à distribuer </t>
    </r>
    <r>
      <rPr>
        <sz val="10"/>
        <color rgb="FFFF0000"/>
        <rFont val="Arial"/>
        <family val="2"/>
      </rPr>
      <t>(si bilan après répartition)</t>
    </r>
  </si>
  <si>
    <t>compte 109</t>
  </si>
  <si>
    <t>- Capital souscrit non appelé en N-1</t>
  </si>
  <si>
    <r>
      <t xml:space="preserve">- Frais d'émission des emprunts à étaler </t>
    </r>
    <r>
      <rPr>
        <sz val="10"/>
        <color rgb="FFFF0000"/>
        <rFont val="Arial"/>
        <family val="2"/>
      </rPr>
      <t xml:space="preserve">(si </t>
    </r>
    <r>
      <rPr>
        <b/>
        <sz val="11"/>
        <color rgb="FFFF0000"/>
        <rFont val="Arial"/>
        <family val="2"/>
      </rPr>
      <t>non</t>
    </r>
    <r>
      <rPr>
        <sz val="10"/>
        <color rgb="FFFF0000"/>
        <rFont val="Arial"/>
        <family val="2"/>
      </rPr>
      <t xml:space="preserve"> assimilés à des A.I.M)</t>
    </r>
  </si>
  <si>
    <t>cf. bilan comptable</t>
  </si>
  <si>
    <t>+ Amortissements de l'actif immobilisé de N-1</t>
  </si>
  <si>
    <t>+ Dépréciations de l'actif immobilisé de N-1</t>
  </si>
  <si>
    <t>c'est le total des amortissements du début N
==&gt; cf. 2055 "Amortissement" ; cadre A ; colonne "Montant des amortissements au début de l'exercice" ; ligne "Total général"</t>
  </si>
  <si>
    <r>
      <t>cf. 2056 "Dépréciation &amp; provisions" ; colonne "Montant au début de l'exercice" lignes "dépréciations sur immobilisations" 
==&gt; cellules 6A + 6E + 02 + 9U + 06
'</t>
    </r>
    <r>
      <rPr>
        <sz val="10"/>
        <color rgb="FFFF0000"/>
        <rFont val="Arial"/>
        <family val="2"/>
      </rPr>
      <t>Attention</t>
    </r>
    <r>
      <rPr>
        <sz val="10"/>
        <rFont val="Arial"/>
        <family val="2"/>
      </rPr>
      <t xml:space="preserve"> : Ne pas prendre les dépréciations de l'actif circulant</t>
    </r>
  </si>
  <si>
    <t>valeur à neuf ou valeur à neuf - prix de rachat</t>
  </si>
  <si>
    <t xml:space="preserve">+ Intérêts courus sur titres immobilisés </t>
  </si>
  <si>
    <t xml:space="preserve">- Intérêts courus sur titres immobilisés </t>
  </si>
  <si>
    <t>+ Dépréciations et Provisions de N-1 
(sans les provisions réglementées)</t>
  </si>
  <si>
    <t>Variation
N - (N-1)</t>
  </si>
  <si>
    <t>Emplois hors exploitation</t>
  </si>
  <si>
    <t>Ressources hors exploitation</t>
  </si>
  <si>
    <t>F.R.N.G = B.F.R + T.N</t>
  </si>
  <si>
    <t>- A.I.B</t>
  </si>
  <si>
    <t>F.R.N.G</t>
  </si>
  <si>
    <t>Stock</t>
  </si>
  <si>
    <t>+ Créances d'exploitation</t>
  </si>
  <si>
    <t>- Avances et acompte reçus</t>
  </si>
  <si>
    <t>+ Avances et acomptes versés</t>
  </si>
  <si>
    <t>- Dettes d'exploitation</t>
  </si>
  <si>
    <t>B.F.R.E</t>
  </si>
  <si>
    <t>- Dettes hors exploitation</t>
  </si>
  <si>
    <t>B.F.R.H.E</t>
  </si>
  <si>
    <t>B.F.R</t>
  </si>
  <si>
    <t>-Trésorerie passif</t>
  </si>
  <si>
    <r>
      <t xml:space="preserve">Créances d'exploitation </t>
    </r>
    <r>
      <rPr>
        <b/>
        <sz val="10"/>
        <rFont val="Arial"/>
        <family val="2"/>
      </rPr>
      <t>brut</t>
    </r>
  </si>
  <si>
    <t>Créances d'exploitation brutes de N-1</t>
  </si>
  <si>
    <r>
      <t xml:space="preserve">+ La part des charges constatées d'avance </t>
    </r>
    <r>
      <rPr>
        <b/>
        <sz val="10"/>
        <rFont val="Arial"/>
        <family val="2"/>
      </rPr>
      <t>liée à l'exploitation</t>
    </r>
    <r>
      <rPr>
        <sz val="10"/>
        <rFont val="Arial"/>
        <family val="2"/>
      </rPr>
      <t xml:space="preserve"> de N-1</t>
    </r>
  </si>
  <si>
    <t>+ Effets Escomptés Non Echus de N-1</t>
  </si>
  <si>
    <t>+ Part des E.C.A liée aux créances d'exploitation de N-1</t>
  </si>
  <si>
    <t>- Part des E.C.P liée aux créances d'exploitation de N-1</t>
  </si>
  <si>
    <t>+ Dépréciation des créances d'exploitation de N-1</t>
  </si>
  <si>
    <r>
      <t xml:space="preserve">+ Part des "autres" crances </t>
    </r>
    <r>
      <rPr>
        <b/>
        <sz val="10"/>
        <rFont val="Arial"/>
        <family val="2"/>
      </rPr>
      <t>brut</t>
    </r>
    <r>
      <rPr>
        <sz val="10"/>
        <rFont val="Arial"/>
        <family val="2"/>
      </rPr>
      <t xml:space="preserve"> liée à l'exploitation</t>
    </r>
  </si>
  <si>
    <r>
      <t xml:space="preserve">Créance clients et comptes rattachés </t>
    </r>
    <r>
      <rPr>
        <b/>
        <sz val="10"/>
        <rFont val="Arial"/>
        <family val="2"/>
      </rPr>
      <t>net</t>
    </r>
    <r>
      <rPr>
        <sz val="10"/>
        <rFont val="Arial"/>
        <family val="2"/>
      </rPr>
      <t xml:space="preserve"> de N-1</t>
    </r>
  </si>
  <si>
    <r>
      <t xml:space="preserve">+ Part des "autres" créances en </t>
    </r>
    <r>
      <rPr>
        <b/>
        <sz val="10"/>
        <rFont val="Arial"/>
        <family val="2"/>
      </rPr>
      <t>net</t>
    </r>
    <r>
      <rPr>
        <sz val="10"/>
        <rFont val="Arial"/>
        <family val="2"/>
      </rPr>
      <t xml:space="preserve"> </t>
    </r>
    <r>
      <rPr>
        <b/>
        <sz val="10"/>
        <rFont val="Arial"/>
        <family val="2"/>
      </rPr>
      <t xml:space="preserve">liée à l'exploitation </t>
    </r>
    <r>
      <rPr>
        <sz val="10"/>
        <rFont val="Arial"/>
        <family val="2"/>
      </rPr>
      <t>de N-1</t>
    </r>
  </si>
  <si>
    <t>T.N = F.R.N.G - B.F.R</t>
  </si>
  <si>
    <t>T.N = T.Actif - T.Passif</t>
  </si>
  <si>
    <t>Escomptes</t>
  </si>
  <si>
    <t>Rabais, Remise, Ristourne</t>
  </si>
  <si>
    <t>R.R.R à accorder</t>
  </si>
  <si>
    <t>R.R.R à obtenir</t>
  </si>
  <si>
    <t>Subventions</t>
  </si>
  <si>
    <t>Personnel extérieur et sous-traitance</t>
  </si>
  <si>
    <t>AA</t>
  </si>
  <si>
    <t>AB</t>
  </si>
  <si>
    <t>AD</t>
  </si>
  <si>
    <t>AF</t>
  </si>
  <si>
    <t>AH</t>
  </si>
  <si>
    <t>AJ</t>
  </si>
  <si>
    <t>AL</t>
  </si>
  <si>
    <t>AN</t>
  </si>
  <si>
    <t>AP</t>
  </si>
  <si>
    <t>AR</t>
  </si>
  <si>
    <t>AT</t>
  </si>
  <si>
    <t>AV</t>
  </si>
  <si>
    <t>AX</t>
  </si>
  <si>
    <t>CS</t>
  </si>
  <si>
    <t>BB</t>
  </si>
  <si>
    <t>CU</t>
  </si>
  <si>
    <t>BD</t>
  </si>
  <si>
    <t>BF</t>
  </si>
  <si>
    <t>BH</t>
  </si>
  <si>
    <t>BJ</t>
  </si>
  <si>
    <t>BL</t>
  </si>
  <si>
    <t>BN</t>
  </si>
  <si>
    <t>BP</t>
  </si>
  <si>
    <t>BR</t>
  </si>
  <si>
    <t>BT</t>
  </si>
  <si>
    <t>BV</t>
  </si>
  <si>
    <t>BX</t>
  </si>
  <si>
    <t>BZ</t>
  </si>
  <si>
    <t>CB</t>
  </si>
  <si>
    <t>CD</t>
  </si>
  <si>
    <t>CF</t>
  </si>
  <si>
    <t>CH</t>
  </si>
  <si>
    <t>CJ</t>
  </si>
  <si>
    <t>CL</t>
  </si>
  <si>
    <t>Frais d'émission d'emprunt à étaler                                                                    (IV)</t>
  </si>
  <si>
    <t>Ecart de conversion actif (E.C.A)                                                                            (VI)</t>
  </si>
  <si>
    <t>CM</t>
  </si>
  <si>
    <t>CN</t>
  </si>
  <si>
    <t>AC</t>
  </si>
  <si>
    <t>AE</t>
  </si>
  <si>
    <t>AG</t>
  </si>
  <si>
    <t>AI</t>
  </si>
  <si>
    <t>AK</t>
  </si>
  <si>
    <t>AM</t>
  </si>
  <si>
    <t>AO</t>
  </si>
  <si>
    <t>AQ</t>
  </si>
  <si>
    <t>AS</t>
  </si>
  <si>
    <t>AU</t>
  </si>
  <si>
    <t>AW</t>
  </si>
  <si>
    <t>AY</t>
  </si>
  <si>
    <t>CT</t>
  </si>
  <si>
    <t>CV</t>
  </si>
  <si>
    <t>BC</t>
  </si>
  <si>
    <t>BE</t>
  </si>
  <si>
    <t>BG</t>
  </si>
  <si>
    <t>BI</t>
  </si>
  <si>
    <t>BK</t>
  </si>
  <si>
    <t>BM</t>
  </si>
  <si>
    <t>BO</t>
  </si>
  <si>
    <t>BQ</t>
  </si>
  <si>
    <t>BS</t>
  </si>
  <si>
    <t>BU</t>
  </si>
  <si>
    <t>BW</t>
  </si>
  <si>
    <t>BY</t>
  </si>
  <si>
    <t>CA</t>
  </si>
  <si>
    <t>CC</t>
  </si>
  <si>
    <t>CE</t>
  </si>
  <si>
    <t>CG</t>
  </si>
  <si>
    <t>CI</t>
  </si>
  <si>
    <t>CK</t>
  </si>
  <si>
    <t>FA</t>
  </si>
  <si>
    <t>FJ</t>
  </si>
  <si>
    <t>FB</t>
  </si>
  <si>
    <t>FK</t>
  </si>
  <si>
    <t>FL</t>
  </si>
  <si>
    <t>FP</t>
  </si>
  <si>
    <t>FQ</t>
  </si>
  <si>
    <t>FR</t>
  </si>
  <si>
    <t>GA</t>
  </si>
  <si>
    <t>GB</t>
  </si>
  <si>
    <t>GC</t>
  </si>
  <si>
    <t>GD</t>
  </si>
  <si>
    <t>GE</t>
  </si>
  <si>
    <t>GF</t>
  </si>
  <si>
    <t>GG</t>
  </si>
  <si>
    <t>GH</t>
  </si>
  <si>
    <t>GI</t>
  </si>
  <si>
    <t>GJ</t>
  </si>
  <si>
    <t>GK</t>
  </si>
  <si>
    <t>GL</t>
  </si>
  <si>
    <t>GM</t>
  </si>
  <si>
    <t>GN</t>
  </si>
  <si>
    <t>GO</t>
  </si>
  <si>
    <t>GP</t>
  </si>
  <si>
    <t>GQ</t>
  </si>
  <si>
    <t>GR</t>
  </si>
  <si>
    <t>GS</t>
  </si>
  <si>
    <t>GT</t>
  </si>
  <si>
    <t>GU</t>
  </si>
  <si>
    <t>GV</t>
  </si>
  <si>
    <t>GW</t>
  </si>
  <si>
    <t>HA</t>
  </si>
  <si>
    <t>HB</t>
  </si>
  <si>
    <t>HC</t>
  </si>
  <si>
    <t>HD</t>
  </si>
  <si>
    <t>HE</t>
  </si>
  <si>
    <t>HF</t>
  </si>
  <si>
    <t>HG</t>
  </si>
  <si>
    <t>HH</t>
  </si>
  <si>
    <t>HI</t>
  </si>
  <si>
    <t>HJ</t>
  </si>
  <si>
    <t>HK</t>
  </si>
  <si>
    <t>HL</t>
  </si>
  <si>
    <t>HM</t>
  </si>
  <si>
    <t>HN</t>
  </si>
  <si>
    <t>HO</t>
  </si>
  <si>
    <t>HY</t>
  </si>
  <si>
    <t>1G</t>
  </si>
  <si>
    <t>HP</t>
  </si>
  <si>
    <t>HQ</t>
  </si>
  <si>
    <t>1H</t>
  </si>
  <si>
    <t>1J</t>
  </si>
  <si>
    <t>1K</t>
  </si>
  <si>
    <t>HX</t>
  </si>
  <si>
    <t>A1</t>
  </si>
  <si>
    <t>A2</t>
  </si>
  <si>
    <t>A3</t>
  </si>
  <si>
    <t>A4</t>
  </si>
  <si>
    <t>La valeur ajoutée traduit le poids économique de l'entreprise. Elle contribue aussi à mesurer l'apport spécifique de l'entreprise à la valeur de sa production (taux de valeur ajoutée : valeur ajoutée/production+ ventes de marchandises + subventions reçues en complément de prix de vente). 
Enfin elle rend compte, à niveau d'activité et à structure d'exploitation inchangée, de l'efficacité de la mise en oeuvre des moyens d'exploitation.</t>
  </si>
  <si>
    <r>
      <t xml:space="preserve">Ce solde correspond aux ressources d'exploitation en tenant compte des escomptes. C'est la 1ère marge brute calculée, directement issue du processus de production et de commercialisation.  
Ce solde doit être plus important dans les secteurs fortement capitalistiques.
</t>
    </r>
    <r>
      <rPr>
        <sz val="10"/>
        <color rgb="FFFF0000"/>
        <rFont val="Arial"/>
        <family val="2"/>
      </rPr>
      <t>Le résultat brut d'exploitation représente le montant des ressources que l'entreprise obtient de son exploitation.
C'est la première marge brute calculée, directement issue du processus de production et de commercialisation.
Elle doit être d'autant plus importante que l'entreprise se situe dans un secteur fortement capitalistique, exigeant des renouvellements d'équipements importants.</t>
    </r>
  </si>
  <si>
    <t>Contrat de crédit bail n° 1</t>
  </si>
  <si>
    <t>Contrat de crédit bail n° 2</t>
  </si>
  <si>
    <t xml:space="preserve">Valeur à neuf </t>
  </si>
  <si>
    <t xml:space="preserve">Valeur de rachat </t>
  </si>
  <si>
    <t>Durée du contrat (en années)</t>
  </si>
  <si>
    <t xml:space="preserve">Amortissements cumulés </t>
  </si>
  <si>
    <t>Amortissements cumulés des biens en crédit bail</t>
  </si>
  <si>
    <t>Annuité des biens en crédit bail</t>
  </si>
  <si>
    <t>Annuité de l'exercice</t>
  </si>
  <si>
    <t>Part d'amortissement incluse dans le crédit bail</t>
  </si>
  <si>
    <t>Part des frais financiers dans l'annuité du crédit bail</t>
  </si>
  <si>
    <t>Part des frais financiers dans les annuités des crédits bail</t>
  </si>
  <si>
    <t>Part d'amortissement incluse dans les crédits bail</t>
  </si>
  <si>
    <t>FD</t>
  </si>
  <si>
    <t>FE</t>
  </si>
  <si>
    <t>FF</t>
  </si>
  <si>
    <t>FG</t>
  </si>
  <si>
    <t>FH</t>
  </si>
  <si>
    <t>FI</t>
  </si>
  <si>
    <t>DA</t>
  </si>
  <si>
    <t>DB</t>
  </si>
  <si>
    <t>DC</t>
  </si>
  <si>
    <t>DD</t>
  </si>
  <si>
    <t>DE</t>
  </si>
  <si>
    <t>DF</t>
  </si>
  <si>
    <t>DG</t>
  </si>
  <si>
    <t>DH</t>
  </si>
  <si>
    <t>DI</t>
  </si>
  <si>
    <t>DK</t>
  </si>
  <si>
    <t>DL</t>
  </si>
  <si>
    <t>DM</t>
  </si>
  <si>
    <t>DN</t>
  </si>
  <si>
    <t>DP</t>
  </si>
  <si>
    <t>DQ</t>
  </si>
  <si>
    <t>DR</t>
  </si>
  <si>
    <t>DS</t>
  </si>
  <si>
    <t>DT</t>
  </si>
  <si>
    <t>DU</t>
  </si>
  <si>
    <t>DV</t>
  </si>
  <si>
    <t>DW</t>
  </si>
  <si>
    <t>DX</t>
  </si>
  <si>
    <t>DY</t>
  </si>
  <si>
    <t>DZ</t>
  </si>
  <si>
    <t>EA</t>
  </si>
  <si>
    <t>EB</t>
  </si>
  <si>
    <t>EC</t>
  </si>
  <si>
    <t>ED</t>
  </si>
  <si>
    <t>EE</t>
  </si>
  <si>
    <t>1B</t>
  </si>
  <si>
    <t>1C</t>
  </si>
  <si>
    <t>1D</t>
  </si>
  <si>
    <t>1E</t>
  </si>
  <si>
    <t>EF</t>
  </si>
  <si>
    <t>EG</t>
  </si>
  <si>
    <t>EH</t>
  </si>
  <si>
    <t>Z9</t>
  </si>
  <si>
    <t>SP</t>
  </si>
  <si>
    <t>Z8</t>
  </si>
  <si>
    <t>SR</t>
  </si>
  <si>
    <t>7Y</t>
  </si>
  <si>
    <t>7Z</t>
  </si>
  <si>
    <t>8A</t>
  </si>
  <si>
    <t>8B</t>
  </si>
  <si>
    <t>8C</t>
  </si>
  <si>
    <t>8D</t>
  </si>
  <si>
    <t>8E</t>
  </si>
  <si>
    <t>8J</t>
  </si>
  <si>
    <t>8K</t>
  </si>
  <si>
    <t>8L</t>
  </si>
  <si>
    <t>avec l'annexe 2056</t>
  </si>
  <si>
    <t>avec l'annexe 2054</t>
  </si>
  <si>
    <t>avec l'annexe 2055</t>
  </si>
  <si>
    <t>Vérification</t>
  </si>
  <si>
    <t>Syhnthèse des contrats de crédit bail</t>
  </si>
  <si>
    <t>Actif Immobilisé Brut</t>
  </si>
  <si>
    <t xml:space="preserve">Actif circulant brut </t>
  </si>
  <si>
    <t>Créances d'exploitation brutes</t>
  </si>
  <si>
    <t>Financement propres</t>
  </si>
  <si>
    <t xml:space="preserve">Actif Immobilisé Brut de N-1 (1ère méthode) </t>
  </si>
  <si>
    <t>avec les annexes 2055 "Amortissements" et 2056 "Dépréciations et provisions"</t>
  </si>
  <si>
    <t xml:space="preserve">Actif Immobilisé Brut de N-1 (2ème méthode) </t>
  </si>
  <si>
    <t>avec les annexes 2054 "Immobilisations"</t>
  </si>
  <si>
    <t>Calcul intérmédaire pour le bilan fonctionnel de N-1 à partir de la liasse fiscale de N</t>
  </si>
  <si>
    <t xml:space="preserve">Variation
en % </t>
  </si>
  <si>
    <t>Variation 
en %</t>
  </si>
  <si>
    <t>Bilan Actif de N-1 complet ?</t>
  </si>
  <si>
    <t>le test se fait sur cette hypothèse et est implicite sur la suivante</t>
  </si>
  <si>
    <t xml:space="preserve">Intérêts </t>
  </si>
  <si>
    <t>Créances et dettes (exploitation et hors exploitation)</t>
  </si>
  <si>
    <r>
      <t xml:space="preserve">Charges constatées d'avance </t>
    </r>
    <r>
      <rPr>
        <b/>
        <sz val="10"/>
        <rFont val="Arial"/>
        <family val="2"/>
      </rPr>
      <t>liées à l'exploitation</t>
    </r>
  </si>
  <si>
    <r>
      <t xml:space="preserve">Produits constatés d'avance </t>
    </r>
    <r>
      <rPr>
        <b/>
        <sz val="10"/>
        <rFont val="Arial"/>
        <family val="2"/>
      </rPr>
      <t>liées à l'exploitation</t>
    </r>
  </si>
  <si>
    <t>Charges et produits constatés d'avance (exploitation et hors exploitation)</t>
  </si>
  <si>
    <r>
      <t xml:space="preserve">Comptes courant créditeurs (dettes diverse </t>
    </r>
    <r>
      <rPr>
        <b/>
        <sz val="10"/>
        <rFont val="Arial"/>
        <family val="2"/>
      </rPr>
      <t>hors exploitation</t>
    </r>
    <r>
      <rPr>
        <sz val="10"/>
        <rFont val="Arial"/>
        <family val="2"/>
      </rPr>
      <t>)</t>
    </r>
  </si>
  <si>
    <r>
      <t xml:space="preserve">Part des "Autres dettes" </t>
    </r>
    <r>
      <rPr>
        <b/>
        <sz val="10"/>
        <rFont val="Arial"/>
        <family val="2"/>
      </rPr>
      <t>liés à l'exploitation</t>
    </r>
  </si>
  <si>
    <r>
      <t xml:space="preserve">Part des "Autres créances" </t>
    </r>
    <r>
      <rPr>
        <b/>
        <sz val="10"/>
        <rFont val="Arial"/>
        <family val="2"/>
      </rPr>
      <t xml:space="preserve">liée au </t>
    </r>
    <r>
      <rPr>
        <b/>
        <sz val="10"/>
        <color rgb="FFFF0000"/>
        <rFont val="Arial"/>
        <family val="2"/>
      </rPr>
      <t>hors</t>
    </r>
    <r>
      <rPr>
        <b/>
        <sz val="10"/>
        <rFont val="Arial"/>
        <family val="2"/>
      </rPr>
      <t xml:space="preserve"> exploitation</t>
    </r>
  </si>
  <si>
    <t>Hypothèses</t>
  </si>
  <si>
    <r>
      <rPr>
        <b/>
        <sz val="10"/>
        <rFont val="Arial"/>
        <family val="2"/>
      </rPr>
      <t>Hypothèse 1</t>
    </r>
    <r>
      <rPr>
        <sz val="10"/>
        <rFont val="Arial"/>
        <family val="2"/>
      </rPr>
      <t xml:space="preserve"> : Frais d'émission des emprunts à étaler assimilés à des A.I.B ?</t>
    </r>
  </si>
  <si>
    <t>(si bilan après répartition ou pas)</t>
  </si>
  <si>
    <t>Informations diverses</t>
  </si>
  <si>
    <t>Actif développé</t>
  </si>
  <si>
    <t>Passif développé</t>
  </si>
  <si>
    <t>Créances 
(Actif de base)</t>
  </si>
  <si>
    <t>Créances 
(Actif développé)</t>
  </si>
  <si>
    <t>Dettes 
(Passif de base)</t>
  </si>
  <si>
    <t>Dettes 
(Passif développé)</t>
  </si>
  <si>
    <t>Marge Commerciale</t>
  </si>
  <si>
    <t>Valeur Ajoutée</t>
  </si>
  <si>
    <t>Excédent Brut d'Exploitation</t>
  </si>
  <si>
    <t>Résultat d'exploitation</t>
  </si>
  <si>
    <t>Résultat Courant Avant Impôts</t>
  </si>
  <si>
    <t>Résultat exceptionnel</t>
  </si>
  <si>
    <t>Résultat Net</t>
  </si>
  <si>
    <t>Plus ou moins values sur cession d'actifs</t>
  </si>
  <si>
    <t>604 + 6084 - 6094 ; 605 + 6085 - 6095 ; 
606 + 6086 - 6096 ; 61 - 619 ; 62 - 629 ;</t>
  </si>
  <si>
    <t>601 - 6091 ; 602 - 6092 ; 6081 ; 6082</t>
  </si>
  <si>
    <t>Soldes globaux</t>
  </si>
  <si>
    <t>donc ne pas prendre 786 RADP financières</t>
  </si>
  <si>
    <t>DJ</t>
  </si>
  <si>
    <t>Emprunts et dettes auprès des établissements de crédit (5) (6)</t>
  </si>
  <si>
    <t>(6) Dont intérêts courus</t>
  </si>
  <si>
    <t>Capacité d'Auto Financement du Plan Comptable Général (C.A.F du P.C.G)</t>
  </si>
  <si>
    <t>Capacité d'Auto Financement du la Centrale Des Bilans de la Banque De France (C.A.F de la C.D.B de la B.D.F)</t>
  </si>
  <si>
    <t>Soldes Intermédiaires de Gestion du Plan Comptable Général (SIG du PCG)</t>
  </si>
  <si>
    <t>Soldes Intermédiaires de Gestion de la Centrale des Bilans de la Banque de France (SIG de la CDB de la BDF)</t>
  </si>
  <si>
    <r>
      <t xml:space="preserve">Part des "Autres dettes" </t>
    </r>
    <r>
      <rPr>
        <b/>
        <sz val="10"/>
        <rFont val="Arial"/>
        <family val="2"/>
      </rPr>
      <t>liée à l'impôt sur les bénéfices</t>
    </r>
  </si>
  <si>
    <t>Part des comptes courants créditeurs à long terme (&gt; 1 an)</t>
  </si>
  <si>
    <t>Part des comptes courants créditeurs à court terme (&lt; 1 an)</t>
  </si>
  <si>
    <t>Capital souscrit et appelé, non versé</t>
  </si>
  <si>
    <t xml:space="preserve">Capital social ou individuel (1)   </t>
  </si>
  <si>
    <t xml:space="preserve"> (Dont versé :                 </t>
  </si>
  <si>
    <t>)</t>
  </si>
  <si>
    <t>Passif externe</t>
  </si>
  <si>
    <t>Comptes de régul,</t>
  </si>
  <si>
    <t>Capitaux propres
(ou Actif Net)</t>
  </si>
  <si>
    <r>
      <rPr>
        <b/>
        <sz val="10"/>
        <rFont val="Arial"/>
        <family val="2"/>
      </rPr>
      <t>Hypothèse 4</t>
    </r>
    <r>
      <rPr>
        <sz val="10"/>
        <rFont val="Arial"/>
        <family val="2"/>
      </rPr>
      <t xml:space="preserve"> : La CAF du tableau de financement est celle de la CDB de la BDF ?</t>
    </r>
  </si>
  <si>
    <t>Informations pour le TF (Tableau de Financement)</t>
  </si>
  <si>
    <t>Type de bilan et liasse fiscale disponible</t>
  </si>
  <si>
    <t>Extrait "2054 Immobilisations" disponible ?</t>
  </si>
  <si>
    <t xml:space="preserve">Extrait "2055 Amortissements" disponible ? </t>
  </si>
  <si>
    <t>Extrait "2056 Dépréciations e provisions" disponible ?</t>
  </si>
  <si>
    <t>Extrait "2057 Créances et Dettes" disponible ?</t>
  </si>
  <si>
    <t>Servira à déterminer l'augmentation et la dimunition des actifs immobilisé financiers pour le TF</t>
  </si>
  <si>
    <t xml:space="preserve">Ne pas prendre en compte la diminution des prêts pour déduire la V.C.E.A.C 675 </t>
  </si>
  <si>
    <t>Valeur des biens pris en crédit bail en N</t>
  </si>
  <si>
    <t>Part d'amortissement incluse dans les annuités de crédit bail de N</t>
  </si>
  <si>
    <t>E.C.A liés à des emprunts auprès des établissements de crédit</t>
  </si>
  <si>
    <t>E.C.A liés à des emprunts et dettes divers</t>
  </si>
  <si>
    <t>E.C.P liés à des emprunts auprès des établissements de crédit</t>
  </si>
  <si>
    <t>E.C.P liés à des emprunts et dettes divers</t>
  </si>
  <si>
    <t>Ces informations serviront pour le calcul des variations des dettes financières pour le tableau de financement</t>
  </si>
  <si>
    <r>
      <rPr>
        <b/>
        <sz val="10"/>
        <rFont val="Arial"/>
        <family val="2"/>
      </rPr>
      <t>Hypothèse 3</t>
    </r>
    <r>
      <rPr>
        <sz val="10"/>
        <rFont val="Arial"/>
        <family val="2"/>
      </rPr>
      <t xml:space="preserve"> : Valeur du crédit bail = valeur à neuf (méthode classique) ? 
(</t>
    </r>
    <r>
      <rPr>
        <b/>
        <sz val="10"/>
        <rFont val="Arial"/>
        <family val="2"/>
      </rPr>
      <t>si non</t>
    </r>
    <r>
      <rPr>
        <sz val="10"/>
        <rFont val="Arial"/>
        <family val="2"/>
      </rPr>
      <t xml:space="preserve"> alors = valeur à neuf - valeur de rachat ==&gt; (méthode de la CDB))</t>
    </r>
  </si>
  <si>
    <t>Variation en €
(N) - (N-1)</t>
  </si>
  <si>
    <t>:</t>
  </si>
  <si>
    <t>Bilan - Actif</t>
  </si>
  <si>
    <t>Bilan - Passif</t>
  </si>
  <si>
    <t xml:space="preserve">Compte de résultat en liste </t>
  </si>
  <si>
    <t>compte de résultat en liste (suite)</t>
  </si>
  <si>
    <t>Immobilisation</t>
  </si>
  <si>
    <t xml:space="preserve">Amortissement </t>
  </si>
  <si>
    <t>Dépréciations et provisions</t>
  </si>
  <si>
    <t>Etat des échéances des créances et des dettes</t>
  </si>
  <si>
    <t>Diagnostic financer</t>
  </si>
  <si>
    <t>Soldes Intermédiaires de Gestion (S.I.G)</t>
  </si>
  <si>
    <t>Capacité d'Auto-Financement (C.A.F)</t>
  </si>
  <si>
    <t>Bilan fonctionnel</t>
  </si>
  <si>
    <t>FRNG, BFR et TN</t>
  </si>
  <si>
    <t xml:space="preserve">Ecart de convertion de passif (E.C.P)  </t>
  </si>
  <si>
    <t>Dettes sur immobilisations et comptes rattachés (Hors exploitation)</t>
  </si>
  <si>
    <t>Dettes fiscales et sociales (dont impôts sur les bénéfices) (exploitation + hors exploitation)</t>
  </si>
  <si>
    <t>Sommaire</t>
  </si>
  <si>
    <t>Frais d'émission d'emprunt à étaler (compte 481)</t>
  </si>
  <si>
    <t>Primes de remboursement des obligations (compte 169)</t>
  </si>
  <si>
    <r>
      <t xml:space="preserve">Correspond à l'écriture 481 à </t>
    </r>
    <r>
      <rPr>
        <b/>
        <sz val="8"/>
        <color rgb="FFFF0000"/>
        <rFont val="Arial"/>
        <family val="2"/>
      </rPr>
      <t>791</t>
    </r>
    <r>
      <rPr>
        <sz val="8"/>
        <rFont val="Arial"/>
        <family val="2"/>
      </rPr>
      <t xml:space="preserve"> (transfert de charges)
Correspond à tout ou partie du renvoie 9 du CR. </t>
    </r>
  </si>
  <si>
    <t>Transfert de charges pour frais de ventes des actions sur le compte des actionnaires défaillants</t>
  </si>
  <si>
    <t>Emplois d'exploitation (cycliques)</t>
  </si>
  <si>
    <t>Ressources d'exploitation (cycliques)</t>
  </si>
  <si>
    <t>Emplois stables (Actif Immobilisé Brut)</t>
  </si>
  <si>
    <t>C'est la rentabilité economique</t>
  </si>
  <si>
    <t>Correspond aux écritures 681 à 28</t>
  </si>
  <si>
    <t>Suite à une cession 
==&gt; écriture 
675 et 28 à 2**</t>
  </si>
  <si>
    <t>Cadre B (Amortissements dérogatoires)</t>
  </si>
  <si>
    <t>Cadre A (Amortissements comptables)</t>
  </si>
  <si>
    <t>écritures 687 à 14</t>
  </si>
  <si>
    <t>écritures 14 à 787</t>
  </si>
  <si>
    <t>écritures 68 à 15</t>
  </si>
  <si>
    <t>écritures 15 à 78</t>
  </si>
  <si>
    <t>écritures 681 à (29 / 39 / 49 / 59)</t>
  </si>
  <si>
    <t>écritures (29 / 39 / 49 / 59) à 781</t>
  </si>
  <si>
    <t>Constantes</t>
  </si>
  <si>
    <t>Taux d'IS</t>
  </si>
  <si>
    <t>Taux normal de TVA</t>
  </si>
  <si>
    <t>Compte 775</t>
  </si>
  <si>
    <t>Compte 675</t>
  </si>
  <si>
    <t>Autres imobilisations financières</t>
  </si>
  <si>
    <t>Créances sur cessions d'immobilisations</t>
  </si>
  <si>
    <t>Compte 462. Inclus dans le poste "Autres créances" du bilan comptable. Permet de calculer le flus de trésorerie liés aux opérations d'investissement.</t>
  </si>
  <si>
    <t>Dettes sur immobilisations (Fournisseurs d'immobilisations)</t>
  </si>
  <si>
    <t>Comptes 404/405. Permet de calculer le flus de trésorerie liés aux opérations d'investissement.</t>
  </si>
  <si>
    <r>
      <rPr>
        <b/>
        <sz val="10"/>
        <rFont val="Arial"/>
        <family val="2"/>
      </rPr>
      <t>Hypothèse 2</t>
    </r>
    <r>
      <rPr>
        <sz val="10"/>
        <rFont val="Arial"/>
        <family val="2"/>
      </rPr>
      <t xml:space="preserve"> : Avances conditionnées assimilés à des financements propres (capitaux propres) ?</t>
    </r>
  </si>
  <si>
    <t>DADP - Charges financières</t>
  </si>
  <si>
    <t>DADP - Charges exceptionnelles</t>
  </si>
  <si>
    <t>X</t>
  </si>
  <si>
    <t>N-1</t>
  </si>
  <si>
    <t>Passif économique</t>
  </si>
  <si>
    <t>Emprunts</t>
  </si>
  <si>
    <t>Concours bancaires</t>
  </si>
  <si>
    <t>Immobilisations nettes</t>
  </si>
  <si>
    <t>V.M.P</t>
  </si>
  <si>
    <t>Actif économique = Actifs - Provisions du passif - Dettes d'exploitation 
= Immobilisations nettes + B.F.R.E + Trésorerie de l'actif 
==&gt; Les actifs économiques sont les contrepartie des capitaux propres et des dettes financières</t>
  </si>
  <si>
    <t>Actif économique = A</t>
  </si>
  <si>
    <t>Passif économique = C + D</t>
  </si>
  <si>
    <t>Capitaux propres = C</t>
  </si>
  <si>
    <t>Dettes financières = D</t>
  </si>
  <si>
    <t>Bilan économique (A = C + D)</t>
  </si>
  <si>
    <t>Analyse du compte de résultat</t>
  </si>
  <si>
    <t>Actif</t>
  </si>
  <si>
    <t>Actif réel net à plus d'un an</t>
  </si>
  <si>
    <t>Actif réel net à moins d'un an</t>
  </si>
  <si>
    <t>Passif</t>
  </si>
  <si>
    <t>Passif à plus d'un an</t>
  </si>
  <si>
    <t>Passif à moins d'un an</t>
  </si>
  <si>
    <t>Bilan financier</t>
  </si>
  <si>
    <t>Actif immobilisé net (total du bilan)</t>
  </si>
  <si>
    <t xml:space="preserve">+ Plus-value latentes </t>
  </si>
  <si>
    <t>+ Part de l'actif circulant net à plus d'un an (Stock outil, créances..)</t>
  </si>
  <si>
    <t>+ Charges constatées d'avance à plus d'un an</t>
  </si>
  <si>
    <t>- Moins values latentes</t>
  </si>
  <si>
    <t>- Part de l'actif immobilisé net à moins d'un an</t>
  </si>
  <si>
    <t>- Actif fictif</t>
  </si>
  <si>
    <t>Primes de remboursement des obligations</t>
  </si>
  <si>
    <t>Charges à répartir (frais d'émission d'emprunt)</t>
  </si>
  <si>
    <t>Actif circulant net</t>
  </si>
  <si>
    <t>- Part de l'actif circulant net à plus d'un an</t>
  </si>
  <si>
    <t>+ Charges constatées d'avance à moins d'un an</t>
  </si>
  <si>
    <t>+ Part de l'actif immobilisé à moins d'un an</t>
  </si>
  <si>
    <t>+ Effet escompté non échus</t>
  </si>
  <si>
    <t>+ Capital souscrit non appelé</t>
  </si>
  <si>
    <t>+ Part d'écart de conversion d'actif couverte par une provision</t>
  </si>
  <si>
    <t>Capitaux propres (total du bilan)</t>
  </si>
  <si>
    <t xml:space="preserve">+ Plus-values latentes </t>
  </si>
  <si>
    <t>+ Comptes courants bloqués</t>
  </si>
  <si>
    <t>+ Ecart de conversion passif</t>
  </si>
  <si>
    <t>- Part d'écart de conversion d'actif non couverte par une provision</t>
  </si>
  <si>
    <t>- Actif fictif net</t>
  </si>
  <si>
    <t>- Moins-values latentes</t>
  </si>
  <si>
    <t>Dettes à plus d'un an</t>
  </si>
  <si>
    <t>+ Provisions à plus d'un an</t>
  </si>
  <si>
    <t>+ Produits constatés d'avance à plus d'un an</t>
  </si>
  <si>
    <t>Dettes fournisseurs, sociales, fiscales, diverses</t>
  </si>
  <si>
    <t>+ Dettes financière à moins d'un an</t>
  </si>
  <si>
    <t>+ Provisions à moins d'un an</t>
  </si>
  <si>
    <t>+ Impôt latent à moins d'un an sur subventions d'investissement et provisions réglementées</t>
  </si>
  <si>
    <t>+ Impôt latent à plus d'unan sur subventions d'investissement et provisions réglementées</t>
  </si>
  <si>
    <t>- Impôt latent à plus d'un an sur subventions d'investissement et provisions réglementées</t>
  </si>
  <si>
    <t>+ Produits constatés d'avance à moins d'un an</t>
  </si>
  <si>
    <t>Actif comptable de base</t>
  </si>
  <si>
    <t>Passif comptable de base</t>
  </si>
  <si>
    <t>Bilan économique</t>
  </si>
  <si>
    <t>Documents comptables : Liasse fiscale</t>
  </si>
  <si>
    <t>Actif économique (Capital Employed)</t>
  </si>
  <si>
    <t>Bilan financier (ou patrimoniale)</t>
  </si>
  <si>
    <t>Compte de  réultat en liste par nature</t>
  </si>
  <si>
    <t>Montants en €</t>
  </si>
  <si>
    <t>Cette information sert à déterminer la méthode de calcul des postes du bilan fonctionnel de N-1</t>
  </si>
  <si>
    <t>2052 et 2053</t>
  </si>
  <si>
    <t>Analyse du bilan</t>
  </si>
  <si>
    <t>Hors AE</t>
  </si>
  <si>
    <t>BFR</t>
  </si>
  <si>
    <t>BFR ?</t>
  </si>
  <si>
    <t>Hypothèse : Assimilé à des capitaux propres</t>
  </si>
  <si>
    <t>Hypothèse : Assimilés à des dettes</t>
  </si>
</sst>
</file>

<file path=xl/styles.xml><?xml version="1.0" encoding="utf-8"?>
<styleSheet xmlns="http://schemas.openxmlformats.org/spreadsheetml/2006/main">
  <numFmts count="3">
    <numFmt numFmtId="43" formatCode="_-* #,##0.00\ _€_-;\-* #,##0.00\ _€_-;_-* &quot;-&quot;??\ _€_-;_-@_-"/>
    <numFmt numFmtId="164" formatCode="_-* #,##0\ _€_-;\-* #,##0\ _€_-;_-* &quot;-&quot;??\ _€_-;_-@_-"/>
    <numFmt numFmtId="165" formatCode="#,##0\ &quot;F&quot;;[Red]\-#,##0\ &quot;F&quot;"/>
  </numFmts>
  <fonts count="69">
    <font>
      <sz val="10"/>
      <name val="Arial"/>
    </font>
    <font>
      <sz val="11"/>
      <color rgb="FF000000"/>
      <name val="Calibri"/>
      <family val="2"/>
    </font>
    <font>
      <b/>
      <sz val="11"/>
      <color rgb="FF000000"/>
      <name val="Calibri"/>
      <family val="2"/>
    </font>
    <font>
      <b/>
      <sz val="10"/>
      <name val="Arial"/>
      <family val="2"/>
    </font>
    <font>
      <b/>
      <sz val="11"/>
      <color rgb="FFFF0000"/>
      <name val="Calibri"/>
      <family val="2"/>
    </font>
    <font>
      <b/>
      <sz val="10"/>
      <color rgb="FFFF0000"/>
      <name val="Arial"/>
      <family val="2"/>
    </font>
    <font>
      <b/>
      <sz val="10"/>
      <color rgb="FFE36C09"/>
      <name val="Arial"/>
      <family val="2"/>
    </font>
    <font>
      <b/>
      <sz val="14"/>
      <name val="Arial"/>
      <family val="2"/>
    </font>
    <font>
      <sz val="10"/>
      <color rgb="FF76923C"/>
      <name val="Arial"/>
      <family val="2"/>
    </font>
    <font>
      <sz val="10"/>
      <color rgb="FF953734"/>
      <name val="Arial"/>
      <family val="2"/>
    </font>
    <font>
      <sz val="10"/>
      <color rgb="FFFF0000"/>
      <name val="Arial"/>
      <family val="2"/>
    </font>
    <font>
      <b/>
      <sz val="11"/>
      <name val="Arial"/>
      <family val="2"/>
    </font>
    <font>
      <b/>
      <sz val="12"/>
      <name val="Arial"/>
      <family val="2"/>
    </font>
    <font>
      <b/>
      <sz val="10"/>
      <name val="Arial"/>
      <family val="2"/>
    </font>
    <font>
      <sz val="10"/>
      <name val="Arial"/>
      <family val="2"/>
    </font>
    <font>
      <sz val="10"/>
      <color rgb="FFFF0000"/>
      <name val="Arial"/>
      <family val="2"/>
    </font>
    <font>
      <b/>
      <sz val="10"/>
      <color rgb="FFFF0000"/>
      <name val="Arial"/>
      <family val="2"/>
    </font>
    <font>
      <sz val="10"/>
      <name val="Arial"/>
      <family val="2"/>
    </font>
    <font>
      <b/>
      <sz val="10"/>
      <color theme="9" tint="-0.249977111117893"/>
      <name val="Arial"/>
      <family val="2"/>
    </font>
    <font>
      <b/>
      <sz val="12"/>
      <name val="Arial"/>
      <family val="2"/>
    </font>
    <font>
      <b/>
      <sz val="10"/>
      <color rgb="FF4F6128"/>
      <name val="Arial"/>
      <family val="2"/>
    </font>
    <font>
      <b/>
      <sz val="14"/>
      <color rgb="FF000000"/>
      <name val="Calibri"/>
      <family val="2"/>
    </font>
    <font>
      <b/>
      <sz val="18"/>
      <color rgb="FF000000"/>
      <name val="Calibri"/>
      <family val="2"/>
    </font>
    <font>
      <b/>
      <sz val="8"/>
      <name val="Arial"/>
      <family val="2"/>
    </font>
    <font>
      <sz val="10"/>
      <color theme="9" tint="-0.249977111117893"/>
      <name val="Arial"/>
      <family val="2"/>
    </font>
    <font>
      <b/>
      <sz val="11"/>
      <color theme="9" tint="-0.499984740745262"/>
      <name val="Arial"/>
      <family val="2"/>
    </font>
    <font>
      <sz val="10"/>
      <color theme="9" tint="-0.499984740745262"/>
      <name val="Arial"/>
      <family val="2"/>
    </font>
    <font>
      <b/>
      <sz val="10"/>
      <color theme="6" tint="-0.499984740745262"/>
      <name val="Arial"/>
      <family val="2"/>
    </font>
    <font>
      <b/>
      <sz val="18"/>
      <name val="Arial"/>
      <family val="2"/>
    </font>
    <font>
      <b/>
      <sz val="10"/>
      <color rgb="FF0070C0"/>
      <name val="Arial"/>
      <family val="2"/>
    </font>
    <font>
      <b/>
      <sz val="10"/>
      <color rgb="FF002060"/>
      <name val="Arial"/>
      <family val="2"/>
    </font>
    <font>
      <b/>
      <sz val="10"/>
      <color theme="3" tint="-0.499984740745262"/>
      <name val="Arial"/>
      <family val="2"/>
    </font>
    <font>
      <b/>
      <sz val="10"/>
      <color theme="3" tint="-0.249977111117893"/>
      <name val="Arial"/>
      <family val="2"/>
    </font>
    <font>
      <b/>
      <u/>
      <sz val="10"/>
      <name val="Arial"/>
      <family val="2"/>
    </font>
    <font>
      <b/>
      <sz val="10"/>
      <color rgb="FF000000"/>
      <name val="Calibri"/>
      <family val="2"/>
    </font>
    <font>
      <sz val="11"/>
      <color rgb="FFFF0000"/>
      <name val="Calibri"/>
      <family val="2"/>
    </font>
    <font>
      <sz val="7"/>
      <name val="Arial"/>
      <family val="2"/>
    </font>
    <font>
      <b/>
      <sz val="7"/>
      <name val="Times New Roman"/>
      <family val="1"/>
    </font>
    <font>
      <sz val="8"/>
      <name val="Arial"/>
      <family val="2"/>
    </font>
    <font>
      <sz val="8"/>
      <color indexed="9"/>
      <name val="Arial"/>
      <family val="2"/>
    </font>
    <font>
      <b/>
      <sz val="7"/>
      <name val="Arial"/>
      <family val="2"/>
    </font>
    <font>
      <sz val="7"/>
      <name val="Times New Roman"/>
      <family val="1"/>
    </font>
    <font>
      <sz val="6.5"/>
      <name val="Arial"/>
      <family val="2"/>
    </font>
    <font>
      <b/>
      <sz val="22"/>
      <name val="Arial"/>
      <family val="2"/>
    </font>
    <font>
      <b/>
      <sz val="9"/>
      <name val="Arial"/>
      <family val="2"/>
    </font>
    <font>
      <b/>
      <sz val="8"/>
      <name val="Times New Roman"/>
      <family val="1"/>
    </font>
    <font>
      <sz val="8"/>
      <name val="Times New Roman"/>
      <family val="1"/>
    </font>
    <font>
      <b/>
      <sz val="8"/>
      <color rgb="FFFF0000"/>
      <name val="Arial"/>
      <family val="2"/>
    </font>
    <font>
      <sz val="8"/>
      <color theme="1"/>
      <name val="Arial"/>
      <family val="2"/>
    </font>
    <font>
      <b/>
      <sz val="11"/>
      <color rgb="FFFF0000"/>
      <name val="Arial"/>
      <family val="2"/>
    </font>
    <font>
      <b/>
      <sz val="12"/>
      <color rgb="FFFF0000"/>
      <name val="Arial"/>
      <family val="2"/>
    </font>
    <font>
      <b/>
      <sz val="9"/>
      <name val="Times New Roman"/>
      <family val="1"/>
    </font>
    <font>
      <b/>
      <sz val="16"/>
      <name val="Arial"/>
      <family val="2"/>
    </font>
    <font>
      <sz val="9"/>
      <name val="Arial"/>
      <family val="2"/>
    </font>
    <font>
      <b/>
      <sz val="11"/>
      <color theme="3" tint="-0.499984740745262"/>
      <name val="Arial"/>
      <family val="2"/>
    </font>
    <font>
      <sz val="10"/>
      <name val="Arial"/>
      <family val="2"/>
    </font>
    <font>
      <sz val="12"/>
      <name val="Arial"/>
      <family val="2"/>
    </font>
    <font>
      <b/>
      <sz val="11"/>
      <name val="Calibri"/>
      <family val="2"/>
    </font>
    <font>
      <b/>
      <sz val="9"/>
      <color rgb="FFFF0000"/>
      <name val="Arial"/>
      <family val="2"/>
    </font>
    <font>
      <sz val="9"/>
      <name val="Times New Roman"/>
      <family val="1"/>
    </font>
    <font>
      <b/>
      <sz val="8.5"/>
      <name val="Arial"/>
      <family val="2"/>
    </font>
    <font>
      <b/>
      <sz val="10"/>
      <color theme="6" tint="-0.249977111117893"/>
      <name val="Arial"/>
      <family val="2"/>
    </font>
    <font>
      <b/>
      <sz val="14"/>
      <color rgb="FFFF0000"/>
      <name val="Arial"/>
      <family val="2"/>
    </font>
    <font>
      <b/>
      <i/>
      <sz val="11"/>
      <name val="Arial"/>
      <family val="2"/>
    </font>
    <font>
      <sz val="11"/>
      <color theme="9" tint="-0.499984740745262"/>
      <name val="Arial"/>
      <family val="2"/>
    </font>
    <font>
      <b/>
      <sz val="12"/>
      <color theme="9" tint="-0.249977111117893"/>
      <name val="Arial"/>
      <family val="2"/>
    </font>
    <font>
      <sz val="8"/>
      <color rgb="FFFF0000"/>
      <name val="Arial"/>
      <family val="2"/>
    </font>
    <font>
      <u/>
      <sz val="9"/>
      <color theme="10"/>
      <name val="Arial"/>
      <family val="2"/>
    </font>
    <font>
      <b/>
      <u/>
      <sz val="11"/>
      <color theme="10"/>
      <name val="Arial"/>
      <family val="2"/>
    </font>
  </fonts>
  <fills count="23">
    <fill>
      <patternFill patternType="none"/>
    </fill>
    <fill>
      <patternFill patternType="gray125"/>
    </fill>
    <fill>
      <patternFill patternType="solid">
        <fgColor rgb="FFD8D8D8"/>
        <bgColor rgb="FFD8D8D8"/>
      </patternFill>
    </fill>
    <fill>
      <patternFill patternType="solid">
        <fgColor rgb="FFFDE9D9"/>
        <bgColor rgb="FFFDE9D9"/>
      </patternFill>
    </fill>
    <fill>
      <patternFill patternType="solid">
        <fgColor rgb="FFFFFFFF"/>
        <bgColor rgb="FFFFFFFF"/>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79998168889431442"/>
        <bgColor rgb="FFFDE9D9"/>
      </patternFill>
    </fill>
    <fill>
      <patternFill patternType="solid">
        <fgColor theme="0" tint="-0.34998626667073579"/>
        <bgColor rgb="FFD8D8D8"/>
      </patternFill>
    </fill>
    <fill>
      <patternFill patternType="solid">
        <fgColor theme="0" tint="-0.14999847407452621"/>
        <bgColor rgb="FFD8D8D8"/>
      </patternFill>
    </fill>
    <fill>
      <patternFill patternType="solid">
        <fgColor theme="0" tint="-0.14999847407452621"/>
        <bgColor rgb="FFBFBFBF"/>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0" tint="-0.14999847407452621"/>
        <bgColor rgb="FFA5A5A5"/>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2" tint="-0.249977111117893"/>
        <bgColor indexed="64"/>
      </patternFill>
    </fill>
  </fills>
  <borders count="13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bottom style="medium">
        <color indexed="64"/>
      </bottom>
      <diagonal/>
    </border>
    <border>
      <left style="medium">
        <color indexed="64"/>
      </left>
      <right style="medium">
        <color indexed="64"/>
      </right>
      <top/>
      <bottom style="thin">
        <color rgb="FF000000"/>
      </bottom>
      <diagonal/>
    </border>
    <border>
      <left style="thin">
        <color rgb="FF000000"/>
      </left>
      <right style="thin">
        <color rgb="FF000000"/>
      </right>
      <top/>
      <bottom style="thin">
        <color rgb="FF00000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rgb="FF000000"/>
      </right>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bottom style="medium">
        <color indexed="64"/>
      </bottom>
      <diagonal/>
    </border>
    <border>
      <left style="thin">
        <color rgb="FF000000"/>
      </left>
      <right/>
      <top style="medium">
        <color rgb="FF000000"/>
      </top>
      <bottom/>
      <diagonal/>
    </border>
    <border>
      <left/>
      <right style="thin">
        <color rgb="FF000000"/>
      </right>
      <top style="thin">
        <color rgb="FF000000"/>
      </top>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indexed="64"/>
      </bottom>
      <diagonal/>
    </border>
    <border>
      <left style="thin">
        <color rgb="FF000000"/>
      </left>
      <right style="medium">
        <color indexed="64"/>
      </right>
      <top style="thin">
        <color rgb="FF000000"/>
      </top>
      <bottom/>
      <diagonal/>
    </border>
    <border>
      <left/>
      <right/>
      <top style="thin">
        <color rgb="FF000000"/>
      </top>
      <bottom style="medium">
        <color indexed="64"/>
      </bottom>
      <diagonal/>
    </border>
    <border>
      <left/>
      <right style="thin">
        <color rgb="FF000000"/>
      </right>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medium">
        <color indexed="64"/>
      </top>
      <bottom style="medium">
        <color indexed="64"/>
      </bottom>
      <diagonal/>
    </border>
    <border>
      <left style="medium">
        <color rgb="FF000000"/>
      </left>
      <right/>
      <top style="medium">
        <color indexed="64"/>
      </top>
      <bottom style="thin">
        <color rgb="FF000000"/>
      </bottom>
      <diagonal/>
    </border>
    <border>
      <left/>
      <right style="medium">
        <color indexed="64"/>
      </right>
      <top style="thin">
        <color rgb="FF000000"/>
      </top>
      <bottom/>
      <diagonal/>
    </border>
    <border>
      <left/>
      <right/>
      <top/>
      <bottom style="thin">
        <color rgb="FF000000"/>
      </bottom>
      <diagonal/>
    </border>
    <border>
      <left style="medium">
        <color indexed="64"/>
      </left>
      <right style="thin">
        <color rgb="FF000000"/>
      </right>
      <top style="medium">
        <color indexed="64"/>
      </top>
      <bottom style="thin">
        <color rgb="FF000000"/>
      </bottom>
      <diagonal/>
    </border>
    <border>
      <left style="medium">
        <color rgb="FF000000"/>
      </left>
      <right/>
      <top style="thin">
        <color rgb="FF000000"/>
      </top>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s>
  <cellStyleXfs count="11">
    <xf numFmtId="0" fontId="0" fillId="0" borderId="0"/>
    <xf numFmtId="43" fontId="17" fillId="0" borderId="0" applyFont="0" applyFill="0" applyBorder="0" applyAlignment="0" applyProtection="0"/>
    <xf numFmtId="0" fontId="14" fillId="0" borderId="1"/>
    <xf numFmtId="9" fontId="55" fillId="0" borderId="0" applyFont="0" applyFill="0" applyBorder="0" applyAlignment="0" applyProtection="0"/>
    <xf numFmtId="43" fontId="14" fillId="0" borderId="1" applyFont="0" applyFill="0" applyBorder="0" applyAlignment="0" applyProtection="0"/>
    <xf numFmtId="9" fontId="14" fillId="0" borderId="1" applyFont="0" applyFill="0" applyBorder="0" applyAlignment="0" applyProtection="0"/>
    <xf numFmtId="43" fontId="14" fillId="0" borderId="1" applyFont="0" applyFill="0" applyBorder="0" applyAlignment="0" applyProtection="0"/>
    <xf numFmtId="9" fontId="14" fillId="0" borderId="1" applyFont="0" applyFill="0" applyBorder="0" applyAlignment="0" applyProtection="0"/>
    <xf numFmtId="43" fontId="14" fillId="0" borderId="1" applyFont="0" applyFill="0" applyBorder="0" applyAlignment="0" applyProtection="0"/>
    <xf numFmtId="9" fontId="14" fillId="0" borderId="1" applyFont="0" applyFill="0" applyBorder="0" applyAlignment="0" applyProtection="0"/>
    <xf numFmtId="0" fontId="67" fillId="0" borderId="0" applyNumberFormat="0" applyFill="0" applyBorder="0" applyAlignment="0" applyProtection="0">
      <alignment vertical="top"/>
      <protection locked="0"/>
    </xf>
  </cellStyleXfs>
  <cellXfs count="1651">
    <xf numFmtId="0" fontId="0" fillId="0" borderId="0" xfId="0"/>
    <xf numFmtId="0" fontId="1" fillId="0" borderId="1"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2"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0" fillId="0" borderId="5" xfId="0" applyFont="1" applyBorder="1" applyAlignment="1">
      <alignment horizontal="center" vertical="center"/>
    </xf>
    <xf numFmtId="0" fontId="0" fillId="0" borderId="6" xfId="0" applyFont="1" applyBorder="1" applyAlignment="1">
      <alignment horizontal="left" vertical="center"/>
    </xf>
    <xf numFmtId="0" fontId="8" fillId="0" borderId="2" xfId="0" applyFont="1" applyBorder="1" applyAlignment="1">
      <alignment vertical="center"/>
    </xf>
    <xf numFmtId="0" fontId="9" fillId="0" borderId="2" xfId="0" applyFont="1" applyBorder="1" applyAlignment="1">
      <alignment vertical="center"/>
    </xf>
    <xf numFmtId="0" fontId="0" fillId="0" borderId="6" xfId="0" applyFont="1" applyBorder="1" applyAlignment="1">
      <alignment horizontal="left" vertical="center" wrapText="1"/>
    </xf>
    <xf numFmtId="0" fontId="0" fillId="0" borderId="6" xfId="0" applyFont="1" applyBorder="1" applyAlignment="1">
      <alignment vertical="center"/>
    </xf>
    <xf numFmtId="0" fontId="10" fillId="0" borderId="6" xfId="0" applyFont="1" applyBorder="1" applyAlignment="1">
      <alignment vertical="center" wrapText="1"/>
    </xf>
    <xf numFmtId="0" fontId="0" fillId="0" borderId="7" xfId="0" applyFont="1" applyBorder="1" applyAlignment="1">
      <alignment horizontal="center" vertical="center"/>
    </xf>
    <xf numFmtId="0" fontId="0" fillId="0" borderId="0" xfId="0"/>
    <xf numFmtId="0" fontId="0" fillId="0" borderId="16" xfId="0" applyFont="1" applyBorder="1" applyAlignment="1">
      <alignment vertical="center"/>
    </xf>
    <xf numFmtId="0" fontId="0" fillId="0" borderId="17" xfId="0" applyFont="1" applyBorder="1" applyAlignment="1">
      <alignment vertical="center"/>
    </xf>
    <xf numFmtId="0" fontId="14" fillId="0" borderId="2" xfId="0" applyFont="1" applyBorder="1" applyAlignment="1">
      <alignment vertical="center"/>
    </xf>
    <xf numFmtId="0" fontId="15" fillId="0" borderId="2" xfId="0" applyFont="1" applyBorder="1" applyAlignment="1">
      <alignment vertical="center"/>
    </xf>
    <xf numFmtId="0" fontId="14" fillId="0" borderId="6" xfId="0" applyFont="1" applyBorder="1" applyAlignment="1">
      <alignment horizontal="left" vertical="center" wrapText="1"/>
    </xf>
    <xf numFmtId="0" fontId="14" fillId="0" borderId="6" xfId="0" applyFont="1" applyBorder="1" applyAlignment="1">
      <alignment horizontal="left" vertical="center"/>
    </xf>
    <xf numFmtId="0" fontId="14"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18" xfId="0" applyFont="1" applyBorder="1" applyAlignment="1">
      <alignment vertical="center"/>
    </xf>
    <xf numFmtId="0" fontId="0" fillId="0" borderId="18" xfId="0" applyFont="1" applyBorder="1" applyAlignment="1">
      <alignment vertical="center"/>
    </xf>
    <xf numFmtId="0" fontId="0" fillId="0" borderId="18" xfId="0" applyFont="1" applyBorder="1" applyAlignment="1">
      <alignment horizontal="center" vertical="center"/>
    </xf>
    <xf numFmtId="0" fontId="14" fillId="0" borderId="18" xfId="0" applyFont="1" applyBorder="1" applyAlignment="1">
      <alignment vertical="center" wrapText="1"/>
    </xf>
    <xf numFmtId="0" fontId="0" fillId="0" borderId="18" xfId="0" applyFont="1" applyBorder="1" applyAlignment="1">
      <alignment horizontal="center" vertical="center" wrapText="1"/>
    </xf>
    <xf numFmtId="0" fontId="5" fillId="0" borderId="18" xfId="0" applyFont="1" applyBorder="1" applyAlignment="1">
      <alignment vertical="center"/>
    </xf>
    <xf numFmtId="0" fontId="5" fillId="0" borderId="18" xfId="0" applyFont="1" applyBorder="1" applyAlignment="1">
      <alignment horizontal="center" vertical="center"/>
    </xf>
    <xf numFmtId="0" fontId="0" fillId="0" borderId="18" xfId="0" applyFont="1" applyBorder="1" applyAlignment="1">
      <alignment vertical="center" wrapText="1"/>
    </xf>
    <xf numFmtId="0" fontId="14" fillId="0" borderId="18" xfId="0" applyFont="1" applyBorder="1" applyAlignment="1">
      <alignment vertical="center"/>
    </xf>
    <xf numFmtId="0" fontId="14" fillId="0" borderId="18" xfId="0" quotePrefix="1" applyFont="1" applyBorder="1" applyAlignment="1">
      <alignment vertical="center"/>
    </xf>
    <xf numFmtId="0" fontId="14" fillId="0" borderId="18" xfId="0" quotePrefix="1" applyFont="1" applyFill="1" applyBorder="1" applyAlignment="1">
      <alignment vertical="center"/>
    </xf>
    <xf numFmtId="0" fontId="0" fillId="0" borderId="20" xfId="0" applyFont="1" applyBorder="1" applyAlignment="1">
      <alignment horizontal="center" vertical="center"/>
    </xf>
    <xf numFmtId="0" fontId="14" fillId="0" borderId="20" xfId="0" applyFont="1" applyBorder="1" applyAlignment="1">
      <alignment vertical="center"/>
    </xf>
    <xf numFmtId="0" fontId="0" fillId="0" borderId="20" xfId="0" applyFont="1" applyBorder="1" applyAlignment="1">
      <alignment vertical="center"/>
    </xf>
    <xf numFmtId="0" fontId="0" fillId="0" borderId="25" xfId="0" applyFont="1" applyBorder="1" applyAlignment="1">
      <alignment horizontal="center" vertical="center"/>
    </xf>
    <xf numFmtId="0" fontId="0" fillId="0" borderId="25" xfId="0" applyFont="1" applyBorder="1" applyAlignment="1">
      <alignment vertical="center"/>
    </xf>
    <xf numFmtId="0" fontId="0" fillId="0" borderId="0" xfId="0" applyAlignment="1">
      <alignment vertical="center"/>
    </xf>
    <xf numFmtId="0" fontId="0" fillId="0" borderId="0" xfId="0" applyAlignment="1">
      <alignment vertical="center"/>
    </xf>
    <xf numFmtId="0" fontId="0" fillId="0" borderId="23" xfId="0" applyFont="1" applyBorder="1" applyAlignment="1">
      <alignment vertical="center"/>
    </xf>
    <xf numFmtId="0" fontId="0" fillId="0" borderId="26" xfId="0" applyFont="1" applyBorder="1" applyAlignment="1">
      <alignment vertical="center"/>
    </xf>
    <xf numFmtId="0" fontId="15" fillId="0" borderId="18" xfId="0" applyFont="1" applyBorder="1" applyAlignment="1">
      <alignment vertical="center"/>
    </xf>
    <xf numFmtId="0" fontId="14" fillId="0" borderId="6" xfId="0" applyFont="1" applyBorder="1" applyAlignment="1">
      <alignment vertical="center"/>
    </xf>
    <xf numFmtId="0" fontId="14" fillId="0" borderId="6" xfId="0" applyFont="1" applyBorder="1" applyAlignment="1">
      <alignment vertical="center" wrapText="1"/>
    </xf>
    <xf numFmtId="0" fontId="14" fillId="0" borderId="2" xfId="0" quotePrefix="1" applyFont="1" applyBorder="1" applyAlignment="1">
      <alignment vertical="center"/>
    </xf>
    <xf numFmtId="0" fontId="13" fillId="0" borderId="2" xfId="0" applyFont="1" applyBorder="1" applyAlignment="1">
      <alignment vertical="center"/>
    </xf>
    <xf numFmtId="0" fontId="0" fillId="0" borderId="0" xfId="0"/>
    <xf numFmtId="0" fontId="0" fillId="0" borderId="3" xfId="0" applyFont="1" applyBorder="1" applyAlignment="1">
      <alignment vertical="center"/>
    </xf>
    <xf numFmtId="0" fontId="0" fillId="0" borderId="23" xfId="0" applyBorder="1"/>
    <xf numFmtId="0" fontId="0" fillId="0" borderId="26" xfId="0" applyBorder="1"/>
    <xf numFmtId="0" fontId="0" fillId="0" borderId="21" xfId="0" applyBorder="1"/>
    <xf numFmtId="0" fontId="0" fillId="0" borderId="22" xfId="0" applyFont="1" applyBorder="1" applyAlignment="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0" xfId="0" applyFont="1" applyBorder="1" applyAlignment="1">
      <alignment horizontal="center" vertical="center" wrapText="1"/>
    </xf>
    <xf numFmtId="0" fontId="0" fillId="6" borderId="25" xfId="0" applyFont="1" applyFill="1" applyBorder="1" applyAlignment="1">
      <alignment vertical="center"/>
    </xf>
    <xf numFmtId="0" fontId="18" fillId="6" borderId="2" xfId="0" applyFont="1" applyFill="1" applyBorder="1" applyAlignment="1">
      <alignment vertical="center"/>
    </xf>
    <xf numFmtId="164" fontId="18" fillId="6" borderId="18" xfId="1" applyNumberFormat="1" applyFont="1" applyFill="1" applyBorder="1" applyAlignment="1">
      <alignment horizontal="center" vertical="center"/>
    </xf>
    <xf numFmtId="164" fontId="0" fillId="5" borderId="18" xfId="1" applyNumberFormat="1" applyFont="1" applyFill="1" applyBorder="1" applyAlignment="1">
      <alignment horizontal="center" vertical="center"/>
    </xf>
    <xf numFmtId="164" fontId="18" fillId="0" borderId="18" xfId="1" applyNumberFormat="1" applyFont="1" applyBorder="1" applyAlignment="1">
      <alignment horizontal="center" vertical="center"/>
    </xf>
    <xf numFmtId="164" fontId="18" fillId="6" borderId="25" xfId="1" applyNumberFormat="1" applyFont="1" applyFill="1" applyBorder="1" applyAlignment="1">
      <alignment horizontal="center" vertical="center"/>
    </xf>
    <xf numFmtId="164" fontId="0" fillId="5" borderId="20" xfId="1" applyNumberFormat="1" applyFont="1" applyFill="1" applyBorder="1" applyAlignment="1">
      <alignment horizontal="center" vertical="center"/>
    </xf>
    <xf numFmtId="164" fontId="0" fillId="0" borderId="20" xfId="1" applyNumberFormat="1" applyFont="1" applyBorder="1" applyAlignment="1">
      <alignment horizontal="center" vertical="center"/>
    </xf>
    <xf numFmtId="164" fontId="0" fillId="0" borderId="18" xfId="1" applyNumberFormat="1" applyFont="1" applyBorder="1" applyAlignment="1">
      <alignment horizontal="center" vertical="center"/>
    </xf>
    <xf numFmtId="0" fontId="0" fillId="0" borderId="1" xfId="0" applyBorder="1" applyAlignment="1">
      <alignment vertical="center"/>
    </xf>
    <xf numFmtId="164" fontId="0" fillId="0" borderId="18" xfId="1" applyNumberFormat="1" applyFont="1" applyBorder="1" applyAlignment="1">
      <alignment vertical="center"/>
    </xf>
    <xf numFmtId="164" fontId="0" fillId="5" borderId="18" xfId="1" applyNumberFormat="1" applyFont="1" applyFill="1" applyBorder="1" applyAlignment="1">
      <alignment vertical="center"/>
    </xf>
    <xf numFmtId="0" fontId="20" fillId="0" borderId="20" xfId="0" applyFont="1" applyFill="1" applyBorder="1" applyAlignment="1">
      <alignment vertical="center"/>
    </xf>
    <xf numFmtId="164" fontId="0" fillId="0" borderId="20" xfId="1" applyNumberFormat="1" applyFont="1"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18" fillId="7" borderId="25" xfId="0" applyFont="1" applyFill="1" applyBorder="1" applyAlignment="1">
      <alignment vertical="center"/>
    </xf>
    <xf numFmtId="164" fontId="18" fillId="6" borderId="25" xfId="1" applyNumberFormat="1" applyFont="1" applyFill="1" applyBorder="1" applyAlignment="1">
      <alignment vertical="center"/>
    </xf>
    <xf numFmtId="0" fontId="0" fillId="0" borderId="26" xfId="0" applyBorder="1" applyAlignment="1">
      <alignment vertical="center"/>
    </xf>
    <xf numFmtId="0" fontId="0" fillId="0" borderId="5" xfId="0" applyFont="1" applyBorder="1" applyAlignment="1">
      <alignment horizontal="center" vertical="center" wrapText="1"/>
    </xf>
    <xf numFmtId="0" fontId="15" fillId="0" borderId="2" xfId="0" quotePrefix="1" applyFont="1" applyBorder="1" applyAlignment="1">
      <alignment vertical="center"/>
    </xf>
    <xf numFmtId="0" fontId="16" fillId="0" borderId="2" xfId="0" applyFont="1" applyBorder="1" applyAlignment="1">
      <alignment vertical="center"/>
    </xf>
    <xf numFmtId="0" fontId="0" fillId="0" borderId="0" xfId="0" applyAlignment="1">
      <alignment vertical="center"/>
    </xf>
    <xf numFmtId="0" fontId="1" fillId="0" borderId="18" xfId="0" applyFont="1" applyBorder="1" applyAlignment="1">
      <alignment vertical="center"/>
    </xf>
    <xf numFmtId="0" fontId="1" fillId="0" borderId="18"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vertical="center"/>
    </xf>
    <xf numFmtId="0" fontId="0" fillId="0" borderId="16" xfId="0" applyFont="1" applyBorder="1" applyAlignment="1">
      <alignment horizontal="center" vertical="center"/>
    </xf>
    <xf numFmtId="0" fontId="0" fillId="0" borderId="30" xfId="0" applyFont="1" applyBorder="1" applyAlignment="1">
      <alignment vertical="center"/>
    </xf>
    <xf numFmtId="0" fontId="0" fillId="0" borderId="36" xfId="0" applyFont="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vertical="center"/>
    </xf>
    <xf numFmtId="0" fontId="6" fillId="3" borderId="25" xfId="0" applyFont="1" applyFill="1" applyBorder="1" applyAlignment="1">
      <alignment vertical="center"/>
    </xf>
    <xf numFmtId="164" fontId="0" fillId="0" borderId="18" xfId="1" applyNumberFormat="1" applyFont="1" applyFill="1" applyBorder="1" applyAlignment="1">
      <alignment vertical="center"/>
    </xf>
    <xf numFmtId="0" fontId="0" fillId="0" borderId="31" xfId="0" applyFont="1" applyBorder="1" applyAlignment="1">
      <alignment vertical="center"/>
    </xf>
    <xf numFmtId="0" fontId="0" fillId="0" borderId="31" xfId="0" applyFont="1" applyBorder="1" applyAlignment="1">
      <alignment horizontal="center" vertical="center"/>
    </xf>
    <xf numFmtId="0" fontId="0" fillId="0" borderId="31" xfId="0" applyFont="1" applyBorder="1" applyAlignment="1">
      <alignment horizontal="center" vertical="center" wrapText="1"/>
    </xf>
    <xf numFmtId="164" fontId="0" fillId="5" borderId="31" xfId="1" applyNumberFormat="1" applyFont="1" applyFill="1" applyBorder="1" applyAlignment="1">
      <alignment vertical="center"/>
    </xf>
    <xf numFmtId="0" fontId="0" fillId="0" borderId="39" xfId="0" applyBorder="1" applyAlignment="1">
      <alignment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19" fillId="10" borderId="41" xfId="0" applyFont="1" applyFill="1" applyBorder="1" applyAlignment="1">
      <alignment horizontal="center" vertical="center"/>
    </xf>
    <xf numFmtId="164" fontId="0" fillId="5" borderId="20" xfId="1" applyNumberFormat="1" applyFont="1" applyFill="1" applyBorder="1" applyAlignment="1">
      <alignment vertical="center"/>
    </xf>
    <xf numFmtId="0" fontId="6" fillId="7" borderId="25" xfId="0" applyFont="1" applyFill="1"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0" borderId="0" xfId="0" applyAlignment="1">
      <alignment vertical="center"/>
    </xf>
    <xf numFmtId="0" fontId="10" fillId="0" borderId="18" xfId="0" quotePrefix="1" applyFont="1" applyBorder="1" applyAlignment="1">
      <alignment vertical="center"/>
    </xf>
    <xf numFmtId="0" fontId="24" fillId="0" borderId="18" xfId="0" quotePrefix="1" applyFont="1" applyBorder="1" applyAlignment="1">
      <alignment vertical="center"/>
    </xf>
    <xf numFmtId="0" fontId="0" fillId="0" borderId="0" xfId="0" applyAlignment="1">
      <alignment horizontal="center" vertical="center"/>
    </xf>
    <xf numFmtId="0" fontId="14" fillId="0" borderId="18" xfId="0" applyFont="1" applyBorder="1" applyAlignment="1">
      <alignment horizontal="center" vertical="center"/>
    </xf>
    <xf numFmtId="0" fontId="0" fillId="0" borderId="18" xfId="0" applyBorder="1" applyAlignment="1">
      <alignment vertical="center" wrapText="1"/>
    </xf>
    <xf numFmtId="0" fontId="0" fillId="0" borderId="0" xfId="0" applyAlignment="1">
      <alignment vertical="center"/>
    </xf>
    <xf numFmtId="0" fontId="14" fillId="0" borderId="18" xfId="0" applyFont="1" applyFill="1" applyBorder="1" applyAlignment="1">
      <alignment vertical="center"/>
    </xf>
    <xf numFmtId="0" fontId="0" fillId="0" borderId="0" xfId="0" applyAlignment="1">
      <alignment vertical="center"/>
    </xf>
    <xf numFmtId="0" fontId="5" fillId="11" borderId="18" xfId="0" applyFont="1" applyFill="1" applyBorder="1" applyAlignment="1">
      <alignment vertical="center" wrapText="1"/>
    </xf>
    <xf numFmtId="0" fontId="0" fillId="0" borderId="20" xfId="0" applyBorder="1" applyAlignment="1">
      <alignment horizontal="center" vertical="center"/>
    </xf>
    <xf numFmtId="0" fontId="0" fillId="0" borderId="48" xfId="0" applyBorder="1" applyAlignment="1">
      <alignment vertical="center"/>
    </xf>
    <xf numFmtId="0" fontId="0" fillId="0" borderId="1" xfId="0" applyBorder="1" applyAlignment="1">
      <alignment horizontal="center" vertical="center"/>
    </xf>
    <xf numFmtId="0" fontId="0" fillId="0" borderId="49" xfId="0" applyBorder="1" applyAlignment="1">
      <alignment vertical="center"/>
    </xf>
    <xf numFmtId="0" fontId="0" fillId="0" borderId="34" xfId="0" applyBorder="1" applyAlignment="1">
      <alignment vertical="center"/>
    </xf>
    <xf numFmtId="164" fontId="0" fillId="5" borderId="22" xfId="1" applyNumberFormat="1" applyFont="1" applyFill="1" applyBorder="1" applyAlignment="1">
      <alignment vertical="center"/>
    </xf>
    <xf numFmtId="164" fontId="24" fillId="6" borderId="22" xfId="1" applyNumberFormat="1" applyFont="1" applyFill="1" applyBorder="1" applyAlignment="1">
      <alignment vertical="center"/>
    </xf>
    <xf numFmtId="164" fontId="26" fillId="12" borderId="18" xfId="1" applyNumberFormat="1" applyFont="1" applyFill="1" applyBorder="1" applyAlignment="1">
      <alignment vertical="center"/>
    </xf>
    <xf numFmtId="164" fontId="24" fillId="6" borderId="18" xfId="1" applyNumberFormat="1" applyFont="1" applyFill="1" applyBorder="1" applyAlignment="1">
      <alignment vertical="center"/>
    </xf>
    <xf numFmtId="164" fontId="26" fillId="12" borderId="20" xfId="1" applyNumberFormat="1" applyFont="1" applyFill="1" applyBorder="1" applyAlignment="1">
      <alignment vertical="center"/>
    </xf>
    <xf numFmtId="0" fontId="29" fillId="0" borderId="25" xfId="0" quotePrefix="1" applyFont="1" applyBorder="1" applyAlignment="1">
      <alignment vertical="center"/>
    </xf>
    <xf numFmtId="0" fontId="0" fillId="0" borderId="18" xfId="0" applyFill="1" applyBorder="1" applyAlignment="1">
      <alignment vertical="center"/>
    </xf>
    <xf numFmtId="0" fontId="0" fillId="11" borderId="18" xfId="0" applyFont="1" applyFill="1" applyBorder="1" applyAlignment="1">
      <alignment horizontal="center" vertical="center"/>
    </xf>
    <xf numFmtId="0" fontId="0" fillId="0" borderId="35" xfId="0" applyFont="1" applyBorder="1" applyAlignment="1">
      <alignment vertical="center"/>
    </xf>
    <xf numFmtId="0" fontId="0" fillId="0" borderId="33" xfId="0" applyFont="1" applyBorder="1" applyAlignment="1">
      <alignment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0" fillId="0" borderId="33" xfId="0" applyFont="1" applyBorder="1" applyAlignment="1">
      <alignment horizontal="center" vertical="center"/>
    </xf>
    <xf numFmtId="0" fontId="14" fillId="0" borderId="20" xfId="0" applyFont="1" applyBorder="1" applyAlignment="1">
      <alignment vertical="center" wrapText="1"/>
    </xf>
    <xf numFmtId="0" fontId="0" fillId="11" borderId="25" xfId="0" applyFont="1" applyFill="1" applyBorder="1" applyAlignment="1">
      <alignment horizontal="center" vertical="center"/>
    </xf>
    <xf numFmtId="0" fontId="0" fillId="11" borderId="25" xfId="0" applyFont="1" applyFill="1" applyBorder="1" applyAlignment="1">
      <alignment vertical="center"/>
    </xf>
    <xf numFmtId="0" fontId="0" fillId="11" borderId="31" xfId="0" applyFont="1" applyFill="1" applyBorder="1" applyAlignment="1">
      <alignment horizontal="center" vertical="center"/>
    </xf>
    <xf numFmtId="0" fontId="0" fillId="11" borderId="31" xfId="0" applyFont="1" applyFill="1" applyBorder="1" applyAlignment="1">
      <alignment vertical="center"/>
    </xf>
    <xf numFmtId="0" fontId="1" fillId="0" borderId="64" xfId="0" applyFont="1" applyBorder="1" applyAlignment="1">
      <alignment horizontal="center" vertical="center"/>
    </xf>
    <xf numFmtId="0" fontId="1" fillId="0" borderId="67" xfId="0" applyFont="1" applyBorder="1" applyAlignment="1">
      <alignment horizontal="center" vertical="center"/>
    </xf>
    <xf numFmtId="0" fontId="3"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7" xfId="0" applyFont="1" applyFill="1" applyBorder="1" applyAlignment="1">
      <alignment horizontal="center" vertical="center"/>
    </xf>
    <xf numFmtId="0" fontId="0" fillId="0" borderId="66" xfId="0" applyFont="1" applyBorder="1" applyAlignment="1">
      <alignment vertical="center"/>
    </xf>
    <xf numFmtId="0" fontId="0" fillId="0" borderId="43" xfId="0" applyFont="1" applyBorder="1" applyAlignment="1">
      <alignment vertical="center"/>
    </xf>
    <xf numFmtId="0" fontId="1" fillId="0" borderId="69" xfId="0" applyFont="1" applyFill="1" applyBorder="1" applyAlignment="1">
      <alignment horizontal="center" vertical="center"/>
    </xf>
    <xf numFmtId="0" fontId="0" fillId="0" borderId="60" xfId="0" applyFont="1" applyBorder="1" applyAlignment="1">
      <alignment vertical="center"/>
    </xf>
    <xf numFmtId="164" fontId="0" fillId="0" borderId="25" xfId="1" applyNumberFormat="1" applyFont="1" applyBorder="1" applyAlignment="1">
      <alignment vertical="center"/>
    </xf>
    <xf numFmtId="164" fontId="0" fillId="0" borderId="33" xfId="1" applyNumberFormat="1" applyFont="1" applyBorder="1" applyAlignment="1">
      <alignment vertical="center"/>
    </xf>
    <xf numFmtId="0" fontId="0" fillId="0" borderId="1" xfId="0" applyBorder="1"/>
    <xf numFmtId="164" fontId="1" fillId="14" borderId="52" xfId="1" applyNumberFormat="1" applyFont="1" applyFill="1" applyBorder="1" applyAlignment="1">
      <alignment vertical="center"/>
    </xf>
    <xf numFmtId="164" fontId="1" fillId="14" borderId="19" xfId="1" applyNumberFormat="1" applyFont="1" applyFill="1" applyBorder="1" applyAlignment="1">
      <alignment vertical="center"/>
    </xf>
    <xf numFmtId="164" fontId="1" fillId="14" borderId="22" xfId="1" applyNumberFormat="1" applyFont="1" applyFill="1" applyBorder="1" applyAlignment="1">
      <alignment vertical="center"/>
    </xf>
    <xf numFmtId="164" fontId="3" fillId="14" borderId="22" xfId="1" applyNumberFormat="1" applyFont="1" applyFill="1" applyBorder="1" applyAlignment="1">
      <alignment vertical="center"/>
    </xf>
    <xf numFmtId="164" fontId="1" fillId="14" borderId="24" xfId="1" applyNumberFormat="1" applyFont="1" applyFill="1" applyBorder="1" applyAlignment="1">
      <alignment vertical="center"/>
    </xf>
    <xf numFmtId="164" fontId="0" fillId="14" borderId="18" xfId="1" applyNumberFormat="1" applyFont="1" applyFill="1" applyBorder="1" applyAlignment="1">
      <alignment vertical="center"/>
    </xf>
    <xf numFmtId="164" fontId="0" fillId="14" borderId="25" xfId="1" applyNumberFormat="1" applyFont="1" applyFill="1" applyBorder="1" applyAlignment="1">
      <alignment vertical="center"/>
    </xf>
    <xf numFmtId="164" fontId="0" fillId="0" borderId="25" xfId="1" applyNumberFormat="1" applyFont="1" applyFill="1" applyBorder="1" applyAlignment="1">
      <alignment vertical="center"/>
    </xf>
    <xf numFmtId="164" fontId="0" fillId="14" borderId="65" xfId="1" applyNumberFormat="1" applyFont="1" applyFill="1" applyBorder="1" applyAlignment="1">
      <alignment vertical="center"/>
    </xf>
    <xf numFmtId="164" fontId="0" fillId="14" borderId="73" xfId="1" applyNumberFormat="1" applyFont="1" applyFill="1" applyBorder="1" applyAlignment="1">
      <alignment vertical="center"/>
    </xf>
    <xf numFmtId="164" fontId="0" fillId="14" borderId="80" xfId="1" applyNumberFormat="1" applyFont="1" applyFill="1" applyBorder="1" applyAlignment="1">
      <alignment vertical="center"/>
    </xf>
    <xf numFmtId="164" fontId="0" fillId="14" borderId="79" xfId="1" applyNumberFormat="1" applyFont="1" applyFill="1" applyBorder="1" applyAlignment="1">
      <alignment vertical="center"/>
    </xf>
    <xf numFmtId="0" fontId="1" fillId="0" borderId="27" xfId="0" applyFont="1" applyBorder="1" applyAlignment="1">
      <alignment horizontal="center" vertical="center"/>
    </xf>
    <xf numFmtId="164" fontId="1" fillId="14" borderId="61" xfId="1" applyNumberFormat="1" applyFont="1" applyFill="1" applyBorder="1" applyAlignment="1">
      <alignment vertical="center"/>
    </xf>
    <xf numFmtId="164" fontId="0" fillId="0" borderId="62" xfId="1" applyNumberFormat="1" applyFont="1" applyBorder="1" applyAlignment="1">
      <alignment vertical="center"/>
    </xf>
    <xf numFmtId="164" fontId="0" fillId="14" borderId="10" xfId="1" applyNumberFormat="1" applyFont="1" applyFill="1" applyBorder="1" applyAlignment="1">
      <alignment vertical="center"/>
    </xf>
    <xf numFmtId="164" fontId="0" fillId="14" borderId="20" xfId="1" applyNumberFormat="1" applyFont="1" applyFill="1" applyBorder="1"/>
    <xf numFmtId="164" fontId="0" fillId="14" borderId="21" xfId="1" applyNumberFormat="1" applyFont="1" applyFill="1" applyBorder="1"/>
    <xf numFmtId="164" fontId="0" fillId="14" borderId="18" xfId="1" applyNumberFormat="1" applyFont="1" applyFill="1" applyBorder="1"/>
    <xf numFmtId="164" fontId="0" fillId="14" borderId="23" xfId="1" applyNumberFormat="1" applyFont="1" applyFill="1" applyBorder="1"/>
    <xf numFmtId="164" fontId="0" fillId="14" borderId="25" xfId="1" applyNumberFormat="1" applyFont="1" applyFill="1" applyBorder="1"/>
    <xf numFmtId="164" fontId="0" fillId="14" borderId="26" xfId="1" applyNumberFormat="1" applyFont="1" applyFill="1" applyBorder="1"/>
    <xf numFmtId="164" fontId="0" fillId="0" borderId="18" xfId="1" applyNumberFormat="1" applyFont="1" applyFill="1" applyBorder="1"/>
    <xf numFmtId="164" fontId="0" fillId="0" borderId="23" xfId="1" applyNumberFormat="1" applyFont="1" applyFill="1" applyBorder="1"/>
    <xf numFmtId="164" fontId="0" fillId="11" borderId="18" xfId="1" applyNumberFormat="1" applyFont="1" applyFill="1" applyBorder="1"/>
    <xf numFmtId="164" fontId="0" fillId="11" borderId="25" xfId="1" applyNumberFormat="1" applyFont="1" applyFill="1" applyBorder="1"/>
    <xf numFmtId="164" fontId="0" fillId="11" borderId="26" xfId="1" applyNumberFormat="1" applyFont="1" applyFill="1" applyBorder="1"/>
    <xf numFmtId="164" fontId="0" fillId="11" borderId="31" xfId="1" applyNumberFormat="1" applyFont="1" applyFill="1" applyBorder="1"/>
    <xf numFmtId="164" fontId="0" fillId="14" borderId="33" xfId="1" applyNumberFormat="1" applyFont="1" applyFill="1" applyBorder="1"/>
    <xf numFmtId="164" fontId="0" fillId="14" borderId="50" xfId="1" applyNumberFormat="1" applyFont="1" applyFill="1" applyBorder="1"/>
    <xf numFmtId="0" fontId="0" fillId="0" borderId="18" xfId="0" applyBorder="1"/>
    <xf numFmtId="164" fontId="3" fillId="5" borderId="18" xfId="1" applyNumberFormat="1" applyFont="1" applyFill="1" applyBorder="1" applyAlignment="1">
      <alignment vertical="center"/>
    </xf>
    <xf numFmtId="0" fontId="0" fillId="0" borderId="0" xfId="0" applyAlignment="1">
      <alignment horizontal="center"/>
    </xf>
    <xf numFmtId="0" fontId="1" fillId="0" borderId="86" xfId="0" applyFont="1" applyBorder="1" applyAlignment="1">
      <alignment horizontal="center" vertical="center"/>
    </xf>
    <xf numFmtId="0" fontId="14" fillId="0" borderId="0" xfId="0" applyFont="1" applyAlignment="1">
      <alignment vertical="center"/>
    </xf>
    <xf numFmtId="0" fontId="14" fillId="0" borderId="25" xfId="0" applyFont="1" applyBorder="1" applyAlignment="1">
      <alignment vertical="center"/>
    </xf>
    <xf numFmtId="0" fontId="0" fillId="0" borderId="0" xfId="0" applyAlignment="1">
      <alignment vertical="center"/>
    </xf>
    <xf numFmtId="164" fontId="38" fillId="5" borderId="87" xfId="1" applyNumberFormat="1" applyFont="1" applyFill="1" applyBorder="1" applyAlignment="1">
      <alignment vertical="center"/>
    </xf>
    <xf numFmtId="164" fontId="23" fillId="14" borderId="23" xfId="1" applyNumberFormat="1" applyFont="1" applyFill="1" applyBorder="1" applyAlignment="1">
      <alignment vertical="center"/>
    </xf>
    <xf numFmtId="164" fontId="23" fillId="0" borderId="23" xfId="1" applyNumberFormat="1" applyFont="1" applyBorder="1" applyAlignment="1">
      <alignment vertical="center"/>
    </xf>
    <xf numFmtId="0" fontId="38" fillId="0" borderId="18" xfId="0" applyFont="1" applyBorder="1" applyAlignment="1">
      <alignment horizontal="center" vertical="center"/>
    </xf>
    <xf numFmtId="164" fontId="23" fillId="14" borderId="18" xfId="1" applyNumberFormat="1" applyFont="1" applyFill="1" applyBorder="1" applyAlignment="1">
      <alignment vertical="center"/>
    </xf>
    <xf numFmtId="164" fontId="23" fillId="0" borderId="18" xfId="1" applyNumberFormat="1" applyFont="1" applyBorder="1" applyAlignment="1">
      <alignment vertical="center"/>
    </xf>
    <xf numFmtId="164" fontId="38" fillId="14" borderId="18" xfId="1" applyNumberFormat="1" applyFont="1" applyFill="1" applyBorder="1" applyAlignment="1">
      <alignment vertical="center"/>
    </xf>
    <xf numFmtId="0" fontId="38" fillId="0" borderId="18" xfId="0" applyFont="1" applyFill="1" applyBorder="1" applyAlignment="1">
      <alignment horizontal="center" vertical="center"/>
    </xf>
    <xf numFmtId="0" fontId="38" fillId="0" borderId="25" xfId="0" applyFont="1" applyFill="1" applyBorder="1" applyAlignment="1">
      <alignment horizontal="center" vertical="center"/>
    </xf>
    <xf numFmtId="164" fontId="23" fillId="0" borderId="25" xfId="1" applyNumberFormat="1" applyFont="1" applyBorder="1" applyAlignment="1">
      <alignment vertical="center"/>
    </xf>
    <xf numFmtId="164" fontId="23" fillId="0" borderId="26" xfId="1" applyNumberFormat="1" applyFont="1" applyBorder="1" applyAlignment="1">
      <alignment vertical="center"/>
    </xf>
    <xf numFmtId="164" fontId="23" fillId="0" borderId="31" xfId="1" applyNumberFormat="1" applyFont="1" applyBorder="1" applyAlignment="1">
      <alignment vertical="center"/>
    </xf>
    <xf numFmtId="164" fontId="38" fillId="14" borderId="23" xfId="1" applyNumberFormat="1" applyFont="1" applyFill="1" applyBorder="1" applyAlignment="1">
      <alignment vertical="center"/>
    </xf>
    <xf numFmtId="164" fontId="38" fillId="14" borderId="25" xfId="1" applyNumberFormat="1" applyFont="1" applyFill="1" applyBorder="1" applyAlignment="1">
      <alignment vertical="center"/>
    </xf>
    <xf numFmtId="0" fontId="38" fillId="0" borderId="25" xfId="0" applyFont="1" applyBorder="1" applyAlignment="1">
      <alignment horizontal="center" vertical="center"/>
    </xf>
    <xf numFmtId="164" fontId="38" fillId="0" borderId="26" xfId="1" applyNumberFormat="1" applyFont="1" applyBorder="1" applyAlignment="1">
      <alignment vertical="center"/>
    </xf>
    <xf numFmtId="0" fontId="38" fillId="11" borderId="25" xfId="0" applyFont="1" applyFill="1" applyBorder="1" applyAlignment="1">
      <alignment horizontal="center" vertical="center" wrapText="1"/>
    </xf>
    <xf numFmtId="0" fontId="38" fillId="11" borderId="26" xfId="0" applyFont="1" applyFill="1" applyBorder="1" applyAlignment="1">
      <alignment horizontal="center" vertical="center" wrapText="1"/>
    </xf>
    <xf numFmtId="0" fontId="38" fillId="0" borderId="31" xfId="0" applyFont="1" applyBorder="1" applyAlignment="1">
      <alignment horizontal="center" vertical="center"/>
    </xf>
    <xf numFmtId="0" fontId="0" fillId="0" borderId="69" xfId="0" applyBorder="1"/>
    <xf numFmtId="0" fontId="38" fillId="11" borderId="89" xfId="0" applyFont="1" applyFill="1" applyBorder="1" applyAlignment="1">
      <alignment horizontal="center" vertical="center"/>
    </xf>
    <xf numFmtId="164" fontId="38" fillId="14" borderId="20" xfId="1" applyNumberFormat="1" applyFont="1" applyFill="1" applyBorder="1" applyAlignment="1">
      <alignment vertical="center"/>
    </xf>
    <xf numFmtId="0" fontId="38" fillId="0" borderId="20" xfId="0" applyFont="1" applyBorder="1" applyAlignment="1">
      <alignment horizontal="center" vertical="center"/>
    </xf>
    <xf numFmtId="164" fontId="38" fillId="0" borderId="21" xfId="1" applyNumberFormat="1" applyFont="1" applyBorder="1" applyAlignment="1">
      <alignment vertical="center"/>
    </xf>
    <xf numFmtId="43" fontId="38" fillId="0" borderId="18" xfId="1" applyFont="1" applyFill="1" applyBorder="1" applyAlignment="1">
      <alignment horizontal="center" vertical="center" wrapText="1"/>
    </xf>
    <xf numFmtId="0" fontId="38" fillId="0" borderId="18" xfId="0" applyFont="1" applyFill="1" applyBorder="1" applyAlignment="1">
      <alignment horizontal="left" vertical="center"/>
    </xf>
    <xf numFmtId="43" fontId="38" fillId="14" borderId="18" xfId="1" applyFont="1" applyFill="1" applyBorder="1" applyAlignment="1">
      <alignment horizontal="center" vertical="center" wrapText="1"/>
    </xf>
    <xf numFmtId="0" fontId="38" fillId="14" borderId="18" xfId="0" applyFont="1" applyFill="1" applyBorder="1" applyAlignment="1">
      <alignment horizontal="left" vertical="center"/>
    </xf>
    <xf numFmtId="0" fontId="38" fillId="14" borderId="18" xfId="0" applyFont="1" applyFill="1" applyBorder="1" applyAlignment="1">
      <alignment horizontal="left" vertical="center" wrapText="1"/>
    </xf>
    <xf numFmtId="165" fontId="38" fillId="0" borderId="18" xfId="0" applyNumberFormat="1" applyFont="1" applyFill="1" applyBorder="1" applyAlignment="1">
      <alignment horizontal="center" vertical="center"/>
    </xf>
    <xf numFmtId="0" fontId="23" fillId="16" borderId="31" xfId="0" applyFont="1" applyFill="1" applyBorder="1" applyAlignment="1">
      <alignment horizontal="right" vertical="center"/>
    </xf>
    <xf numFmtId="0" fontId="38" fillId="16" borderId="31" xfId="0" applyFont="1" applyFill="1" applyBorder="1" applyAlignment="1">
      <alignment horizontal="center" vertical="center"/>
    </xf>
    <xf numFmtId="164" fontId="23" fillId="16" borderId="31" xfId="1" applyNumberFormat="1" applyFont="1" applyFill="1" applyBorder="1" applyAlignment="1">
      <alignment vertical="center"/>
    </xf>
    <xf numFmtId="0" fontId="38" fillId="11" borderId="95"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14" borderId="20" xfId="0" applyFont="1" applyFill="1" applyBorder="1" applyAlignment="1">
      <alignment horizontal="center" vertical="center" wrapText="1"/>
    </xf>
    <xf numFmtId="164" fontId="23" fillId="14" borderId="20" xfId="1" applyNumberFormat="1" applyFont="1" applyFill="1" applyBorder="1" applyAlignment="1">
      <alignment vertical="center"/>
    </xf>
    <xf numFmtId="0" fontId="38" fillId="0" borderId="20" xfId="0" applyFont="1" applyFill="1" applyBorder="1" applyAlignment="1">
      <alignment horizontal="center" vertical="center"/>
    </xf>
    <xf numFmtId="164" fontId="23" fillId="14" borderId="21" xfId="1" applyNumberFormat="1" applyFont="1" applyFill="1" applyBorder="1" applyAlignment="1">
      <alignment vertical="center"/>
    </xf>
    <xf numFmtId="164" fontId="23" fillId="0" borderId="21" xfId="1" applyNumberFormat="1" applyFont="1" applyBorder="1" applyAlignment="1">
      <alignment vertical="center"/>
    </xf>
    <xf numFmtId="164" fontId="23" fillId="0" borderId="32" xfId="1" applyNumberFormat="1" applyFont="1" applyBorder="1" applyAlignment="1">
      <alignment vertical="center"/>
    </xf>
    <xf numFmtId="0" fontId="38" fillId="11" borderId="63" xfId="0" applyFont="1" applyFill="1" applyBorder="1" applyAlignment="1">
      <alignment vertical="center"/>
    </xf>
    <xf numFmtId="0" fontId="48" fillId="0" borderId="18" xfId="0" applyFont="1" applyFill="1" applyBorder="1" applyAlignment="1">
      <alignment horizontal="center" vertical="center"/>
    </xf>
    <xf numFmtId="0" fontId="48" fillId="0" borderId="25" xfId="0" applyFont="1" applyFill="1" applyBorder="1" applyAlignment="1">
      <alignment horizontal="center" vertical="center"/>
    </xf>
    <xf numFmtId="165" fontId="48" fillId="0" borderId="18" xfId="0" applyNumberFormat="1" applyFont="1" applyFill="1" applyBorder="1" applyAlignment="1">
      <alignment horizontal="center" vertical="center"/>
    </xf>
    <xf numFmtId="164" fontId="38" fillId="5" borderId="18" xfId="1" applyNumberFormat="1" applyFont="1" applyFill="1" applyBorder="1" applyAlignment="1">
      <alignment vertical="center"/>
    </xf>
    <xf numFmtId="164" fontId="23" fillId="5" borderId="25" xfId="1" applyNumberFormat="1" applyFont="1" applyFill="1" applyBorder="1" applyAlignment="1">
      <alignment vertical="center"/>
    </xf>
    <xf numFmtId="164" fontId="38" fillId="0" borderId="71" xfId="0" applyNumberFormat="1" applyFont="1" applyFill="1" applyBorder="1" applyAlignment="1">
      <alignment vertical="center"/>
    </xf>
    <xf numFmtId="164" fontId="38" fillId="5" borderId="20" xfId="1" applyNumberFormat="1" applyFont="1" applyFill="1" applyBorder="1" applyAlignment="1">
      <alignment vertical="center"/>
    </xf>
    <xf numFmtId="164" fontId="38" fillId="5" borderId="80" xfId="1" applyNumberFormat="1" applyFont="1" applyFill="1" applyBorder="1" applyAlignment="1">
      <alignment vertical="center"/>
    </xf>
    <xf numFmtId="0" fontId="48" fillId="0" borderId="20" xfId="0" applyFont="1" applyFill="1" applyBorder="1" applyAlignment="1">
      <alignment horizontal="center" vertical="center"/>
    </xf>
    <xf numFmtId="0" fontId="23" fillId="11" borderId="31" xfId="0" applyFont="1" applyFill="1" applyBorder="1" applyAlignment="1">
      <alignment horizontal="center" vertical="center" wrapText="1"/>
    </xf>
    <xf numFmtId="0" fontId="38" fillId="0" borderId="25" xfId="0" applyFont="1" applyBorder="1" applyAlignment="1">
      <alignment vertical="center"/>
    </xf>
    <xf numFmtId="164" fontId="23" fillId="0" borderId="20" xfId="1" applyNumberFormat="1" applyFont="1" applyBorder="1" applyAlignment="1">
      <alignment vertical="center"/>
    </xf>
    <xf numFmtId="164" fontId="23" fillId="14" borderId="25" xfId="1" applyNumberFormat="1" applyFont="1" applyFill="1" applyBorder="1" applyAlignment="1">
      <alignment vertical="center"/>
    </xf>
    <xf numFmtId="0" fontId="48" fillId="0" borderId="62" xfId="0" applyFont="1" applyFill="1" applyBorder="1" applyAlignment="1">
      <alignment horizontal="center" vertical="center"/>
    </xf>
    <xf numFmtId="164" fontId="23" fillId="0" borderId="62" xfId="1" applyNumberFormat="1" applyFont="1" applyBorder="1" applyAlignment="1">
      <alignment vertical="center"/>
    </xf>
    <xf numFmtId="164" fontId="23" fillId="5" borderId="62" xfId="1" applyNumberFormat="1" applyFont="1" applyFill="1" applyBorder="1" applyAlignment="1">
      <alignment vertical="center"/>
    </xf>
    <xf numFmtId="49" fontId="48" fillId="0" borderId="18" xfId="0" applyNumberFormat="1" applyFont="1" applyFill="1" applyBorder="1" applyAlignment="1">
      <alignment horizontal="center" vertical="center"/>
    </xf>
    <xf numFmtId="49" fontId="48" fillId="0" borderId="25" xfId="0" applyNumberFormat="1" applyFont="1" applyFill="1" applyBorder="1" applyAlignment="1">
      <alignment horizontal="center" vertical="center"/>
    </xf>
    <xf numFmtId="49" fontId="48" fillId="0" borderId="20" xfId="0" applyNumberFormat="1" applyFont="1" applyFill="1" applyBorder="1" applyAlignment="1">
      <alignment horizontal="center" vertical="center"/>
    </xf>
    <xf numFmtId="49" fontId="48" fillId="0" borderId="32" xfId="0" applyNumberFormat="1" applyFont="1" applyFill="1" applyBorder="1" applyAlignment="1">
      <alignment horizontal="center" vertical="center"/>
    </xf>
    <xf numFmtId="0" fontId="38" fillId="11" borderId="84" xfId="0" applyFont="1" applyFill="1" applyBorder="1" applyAlignment="1">
      <alignment horizontal="center" vertical="center" wrapText="1"/>
    </xf>
    <xf numFmtId="0" fontId="38" fillId="11" borderId="64" xfId="0" applyFont="1" applyFill="1" applyBorder="1" applyAlignment="1">
      <alignment vertical="center"/>
    </xf>
    <xf numFmtId="0" fontId="38" fillId="11" borderId="68" xfId="0" applyFont="1" applyFill="1" applyBorder="1" applyAlignment="1">
      <alignment vertical="center"/>
    </xf>
    <xf numFmtId="0" fontId="38" fillId="11" borderId="83" xfId="0" applyFont="1" applyFill="1" applyBorder="1" applyAlignment="1">
      <alignment vertical="center"/>
    </xf>
    <xf numFmtId="0" fontId="38" fillId="5" borderId="63" xfId="0" applyFont="1" applyFill="1" applyBorder="1" applyAlignment="1">
      <alignment vertical="center"/>
    </xf>
    <xf numFmtId="0" fontId="38" fillId="5" borderId="83" xfId="0" applyFont="1" applyFill="1" applyBorder="1" applyAlignment="1">
      <alignment vertical="center"/>
    </xf>
    <xf numFmtId="3" fontId="38" fillId="0" borderId="18" xfId="0" applyNumberFormat="1" applyFont="1" applyBorder="1" applyAlignment="1">
      <alignment vertical="center"/>
    </xf>
    <xf numFmtId="0" fontId="38" fillId="0" borderId="18" xfId="0" applyFont="1" applyBorder="1" applyAlignment="1">
      <alignment horizontal="right" vertical="center"/>
    </xf>
    <xf numFmtId="0" fontId="23" fillId="11" borderId="25" xfId="0" applyFont="1" applyFill="1" applyBorder="1" applyAlignment="1">
      <alignment horizontal="center" vertical="center" wrapText="1"/>
    </xf>
    <xf numFmtId="0" fontId="23" fillId="11" borderId="26" xfId="0" applyFont="1" applyFill="1" applyBorder="1" applyAlignment="1">
      <alignment horizontal="center" vertical="center" wrapText="1"/>
    </xf>
    <xf numFmtId="0" fontId="23" fillId="11" borderId="25" xfId="0" applyFont="1" applyFill="1" applyBorder="1" applyAlignment="1">
      <alignment vertical="center" wrapText="1"/>
    </xf>
    <xf numFmtId="0" fontId="36" fillId="17" borderId="18" xfId="0" applyFont="1" applyFill="1" applyBorder="1" applyAlignment="1">
      <alignment horizontal="left" vertical="center"/>
    </xf>
    <xf numFmtId="0" fontId="36" fillId="17" borderId="18" xfId="0" applyFont="1" applyFill="1" applyBorder="1" applyAlignment="1">
      <alignment horizontal="left" vertical="center" wrapText="1"/>
    </xf>
    <xf numFmtId="49" fontId="36" fillId="17" borderId="18" xfId="0" applyNumberFormat="1" applyFont="1" applyFill="1" applyBorder="1" applyAlignment="1">
      <alignment horizontal="left" vertical="center"/>
    </xf>
    <xf numFmtId="0" fontId="36" fillId="17" borderId="18" xfId="0" applyFont="1" applyFill="1" applyBorder="1" applyAlignment="1">
      <alignment vertical="center"/>
    </xf>
    <xf numFmtId="0" fontId="38" fillId="17" borderId="18" xfId="0" applyFont="1" applyFill="1" applyBorder="1" applyAlignment="1">
      <alignment vertical="center"/>
    </xf>
    <xf numFmtId="0" fontId="0" fillId="17" borderId="18" xfId="0" applyFill="1" applyBorder="1" applyAlignment="1">
      <alignment vertical="center"/>
    </xf>
    <xf numFmtId="3" fontId="38" fillId="17" borderId="18" xfId="0" applyNumberFormat="1" applyFont="1" applyFill="1" applyBorder="1" applyAlignment="1">
      <alignment vertical="center"/>
    </xf>
    <xf numFmtId="0" fontId="38" fillId="17" borderId="18" xfId="0" applyFont="1" applyFill="1" applyBorder="1" applyAlignment="1">
      <alignment horizontal="right" vertical="center"/>
    </xf>
    <xf numFmtId="0" fontId="38" fillId="17" borderId="18" xfId="0" applyFont="1" applyFill="1" applyBorder="1" applyAlignment="1">
      <alignment horizontal="center" vertical="center"/>
    </xf>
    <xf numFmtId="0" fontId="42" fillId="17" borderId="18" xfId="0" applyFont="1" applyFill="1" applyBorder="1" applyAlignment="1">
      <alignment horizontal="left" vertical="center" wrapText="1"/>
    </xf>
    <xf numFmtId="0" fontId="23" fillId="17" borderId="18" xfId="0" applyFont="1" applyFill="1" applyBorder="1" applyAlignment="1">
      <alignment horizontal="right" vertical="center"/>
    </xf>
    <xf numFmtId="3" fontId="36" fillId="17" borderId="18" xfId="0" applyNumberFormat="1" applyFont="1" applyFill="1" applyBorder="1" applyAlignment="1">
      <alignment vertical="center"/>
    </xf>
    <xf numFmtId="0" fontId="36" fillId="17" borderId="20" xfId="0" applyFont="1" applyFill="1" applyBorder="1" applyAlignment="1">
      <alignment horizontal="left" vertical="center"/>
    </xf>
    <xf numFmtId="0" fontId="36" fillId="17" borderId="20" xfId="0" applyFont="1" applyFill="1" applyBorder="1" applyAlignment="1">
      <alignment vertical="center"/>
    </xf>
    <xf numFmtId="3" fontId="38" fillId="17" borderId="20" xfId="0" applyNumberFormat="1" applyFont="1" applyFill="1" applyBorder="1" applyAlignment="1">
      <alignment vertical="center"/>
    </xf>
    <xf numFmtId="0" fontId="36" fillId="17" borderId="25" xfId="0" applyFont="1" applyFill="1" applyBorder="1" applyAlignment="1">
      <alignment horizontal="left" vertical="center"/>
    </xf>
    <xf numFmtId="0" fontId="0" fillId="17" borderId="25" xfId="0" applyFill="1" applyBorder="1" applyAlignment="1">
      <alignment vertical="center"/>
    </xf>
    <xf numFmtId="0" fontId="40" fillId="17" borderId="20" xfId="0" applyFont="1" applyFill="1" applyBorder="1" applyAlignment="1">
      <alignment vertical="center"/>
    </xf>
    <xf numFmtId="3" fontId="23" fillId="17" borderId="20" xfId="0" applyNumberFormat="1" applyFont="1" applyFill="1" applyBorder="1" applyAlignment="1">
      <alignment vertical="center"/>
    </xf>
    <xf numFmtId="3" fontId="23" fillId="0" borderId="20" xfId="0" applyNumberFormat="1" applyFont="1" applyBorder="1" applyAlignment="1">
      <alignment vertical="center"/>
    </xf>
    <xf numFmtId="3" fontId="23" fillId="17" borderId="25" xfId="0" applyNumberFormat="1" applyFont="1" applyFill="1" applyBorder="1" applyAlignment="1">
      <alignment vertical="center"/>
    </xf>
    <xf numFmtId="3" fontId="23" fillId="0" borderId="25" xfId="0" applyNumberFormat="1" applyFont="1" applyBorder="1" applyAlignment="1">
      <alignment vertical="center"/>
    </xf>
    <xf numFmtId="0" fontId="23" fillId="11" borderId="70" xfId="0" applyFont="1" applyFill="1" applyBorder="1" applyAlignment="1">
      <alignment horizontal="center" vertical="center" wrapText="1"/>
    </xf>
    <xf numFmtId="0" fontId="38" fillId="0" borderId="18" xfId="0" applyFont="1" applyBorder="1" applyAlignment="1">
      <alignment horizontal="left" vertical="center"/>
    </xf>
    <xf numFmtId="0" fontId="38" fillId="0" borderId="18" xfId="0" applyFont="1" applyBorder="1" applyAlignment="1">
      <alignment horizontal="center" vertical="center"/>
    </xf>
    <xf numFmtId="0" fontId="38" fillId="0" borderId="18" xfId="0" applyFont="1" applyBorder="1" applyAlignment="1">
      <alignment vertical="center"/>
    </xf>
    <xf numFmtId="0" fontId="23" fillId="11" borderId="75" xfId="0" applyFont="1" applyFill="1" applyBorder="1" applyAlignment="1">
      <alignment horizontal="center" vertical="center" wrapText="1"/>
    </xf>
    <xf numFmtId="0" fontId="0" fillId="0" borderId="20" xfId="0" applyBorder="1" applyAlignment="1">
      <alignment vertical="center"/>
    </xf>
    <xf numFmtId="0" fontId="23" fillId="11" borderId="25" xfId="0" applyFont="1" applyFill="1" applyBorder="1" applyAlignment="1">
      <alignment horizontal="center" vertical="center" wrapText="1"/>
    </xf>
    <xf numFmtId="49" fontId="38" fillId="16" borderId="26" xfId="0" applyNumberFormat="1" applyFont="1" applyFill="1" applyBorder="1" applyAlignment="1">
      <alignment horizontal="center" vertical="center"/>
    </xf>
    <xf numFmtId="49" fontId="38" fillId="0" borderId="25" xfId="0" applyNumberFormat="1" applyFont="1" applyBorder="1" applyAlignment="1">
      <alignment horizontal="center" vertical="center"/>
    </xf>
    <xf numFmtId="0" fontId="38" fillId="0" borderId="18" xfId="0" applyFont="1" applyBorder="1" applyAlignment="1">
      <alignment vertical="center" wrapText="1"/>
    </xf>
    <xf numFmtId="0" fontId="0" fillId="16" borderId="23" xfId="0" applyFill="1" applyBorder="1" applyAlignment="1">
      <alignment vertical="center"/>
    </xf>
    <xf numFmtId="0" fontId="0" fillId="16" borderId="26" xfId="0" applyFill="1" applyBorder="1" applyAlignment="1">
      <alignment vertical="center"/>
    </xf>
    <xf numFmtId="164" fontId="36" fillId="14" borderId="20" xfId="1" applyNumberFormat="1" applyFont="1" applyFill="1" applyBorder="1" applyAlignment="1">
      <alignment vertical="center"/>
    </xf>
    <xf numFmtId="164" fontId="36" fillId="14" borderId="18" xfId="1" applyNumberFormat="1" applyFont="1" applyFill="1" applyBorder="1" applyAlignment="1">
      <alignment vertical="center"/>
    </xf>
    <xf numFmtId="164" fontId="38" fillId="14" borderId="18" xfId="1" applyNumberFormat="1" applyFont="1" applyFill="1" applyBorder="1" applyAlignment="1">
      <alignment horizontal="right" vertical="center"/>
    </xf>
    <xf numFmtId="164" fontId="38" fillId="14" borderId="18" xfId="1" applyNumberFormat="1" applyFont="1" applyFill="1" applyBorder="1" applyAlignment="1">
      <alignment horizontal="center" vertical="center"/>
    </xf>
    <xf numFmtId="0" fontId="23" fillId="14" borderId="31" xfId="0" applyFont="1" applyFill="1" applyBorder="1" applyAlignment="1">
      <alignment horizontal="right" vertical="center"/>
    </xf>
    <xf numFmtId="164" fontId="23" fillId="14" borderId="31" xfId="1" applyNumberFormat="1" applyFont="1" applyFill="1" applyBorder="1" applyAlignment="1">
      <alignment vertical="center"/>
    </xf>
    <xf numFmtId="164" fontId="38" fillId="17" borderId="20" xfId="1" applyNumberFormat="1" applyFont="1" applyFill="1" applyBorder="1" applyAlignment="1">
      <alignment vertical="center"/>
    </xf>
    <xf numFmtId="164" fontId="38" fillId="17" borderId="25" xfId="1" applyNumberFormat="1" applyFont="1" applyFill="1" applyBorder="1" applyAlignment="1">
      <alignment vertical="center"/>
    </xf>
    <xf numFmtId="164" fontId="38" fillId="17" borderId="18" xfId="1" applyNumberFormat="1" applyFont="1" applyFill="1" applyBorder="1" applyAlignment="1">
      <alignment vertical="center"/>
    </xf>
    <xf numFmtId="164" fontId="23" fillId="17" borderId="25" xfId="1" applyNumberFormat="1" applyFont="1" applyFill="1" applyBorder="1" applyAlignment="1">
      <alignment vertical="center"/>
    </xf>
    <xf numFmtId="164" fontId="23" fillId="17" borderId="62" xfId="1" applyNumberFormat="1" applyFont="1" applyFill="1" applyBorder="1" applyAlignment="1">
      <alignment vertical="center"/>
    </xf>
    <xf numFmtId="164" fontId="38" fillId="17" borderId="21" xfId="1" applyNumberFormat="1" applyFont="1" applyFill="1" applyBorder="1" applyAlignment="1">
      <alignment vertical="center"/>
    </xf>
    <xf numFmtId="164" fontId="38" fillId="17" borderId="26" xfId="1" applyNumberFormat="1" applyFont="1" applyFill="1" applyBorder="1" applyAlignment="1">
      <alignment vertical="center"/>
    </xf>
    <xf numFmtId="164" fontId="38" fillId="17" borderId="23" xfId="1" applyNumberFormat="1" applyFont="1" applyFill="1" applyBorder="1" applyAlignment="1">
      <alignment vertical="center"/>
    </xf>
    <xf numFmtId="164" fontId="23" fillId="17" borderId="26" xfId="1" applyNumberFormat="1" applyFont="1" applyFill="1" applyBorder="1" applyAlignment="1">
      <alignment vertical="center"/>
    </xf>
    <xf numFmtId="164" fontId="23" fillId="17" borderId="92" xfId="1" applyNumberFormat="1" applyFont="1" applyFill="1" applyBorder="1" applyAlignment="1">
      <alignment vertical="center"/>
    </xf>
    <xf numFmtId="164" fontId="23" fillId="17" borderId="20" xfId="1" applyNumberFormat="1" applyFont="1" applyFill="1" applyBorder="1" applyAlignment="1">
      <alignment vertical="center"/>
    </xf>
    <xf numFmtId="164" fontId="23" fillId="0" borderId="84" xfId="1" applyNumberFormat="1" applyFont="1" applyBorder="1" applyAlignment="1">
      <alignment vertical="center"/>
    </xf>
    <xf numFmtId="164" fontId="23" fillId="17" borderId="71" xfId="1" applyNumberFormat="1" applyFont="1" applyFill="1" applyBorder="1" applyAlignment="1">
      <alignment vertical="center"/>
    </xf>
    <xf numFmtId="43" fontId="38" fillId="11" borderId="67" xfId="1" applyFont="1" applyFill="1" applyBorder="1" applyAlignment="1">
      <alignment vertical="center"/>
    </xf>
    <xf numFmtId="43" fontId="38" fillId="11" borderId="82" xfId="1" applyFont="1" applyFill="1" applyBorder="1" applyAlignment="1">
      <alignment vertical="center"/>
    </xf>
    <xf numFmtId="0" fontId="38" fillId="0" borderId="62" xfId="0" applyFont="1" applyBorder="1" applyAlignment="1">
      <alignment horizontal="center" vertical="center"/>
    </xf>
    <xf numFmtId="164" fontId="23" fillId="0" borderId="92" xfId="1" applyNumberFormat="1" applyFont="1" applyBorder="1" applyAlignment="1">
      <alignment vertical="center"/>
    </xf>
    <xf numFmtId="164" fontId="23" fillId="14" borderId="39" xfId="1" applyNumberFormat="1" applyFont="1" applyFill="1" applyBorder="1" applyAlignment="1">
      <alignment vertical="center"/>
    </xf>
    <xf numFmtId="0" fontId="0" fillId="0" borderId="69" xfId="0" applyBorder="1" applyAlignment="1">
      <alignment vertical="center"/>
    </xf>
    <xf numFmtId="0" fontId="0" fillId="16" borderId="0" xfId="0" applyFill="1" applyAlignment="1">
      <alignment vertical="center"/>
    </xf>
    <xf numFmtId="0" fontId="0" fillId="16" borderId="1" xfId="0" applyFill="1" applyBorder="1" applyAlignment="1">
      <alignment vertical="center"/>
    </xf>
    <xf numFmtId="0" fontId="38" fillId="11" borderId="24" xfId="0" applyFont="1" applyFill="1" applyBorder="1" applyAlignment="1">
      <alignment horizontal="center" vertical="center" wrapText="1"/>
    </xf>
    <xf numFmtId="0" fontId="38" fillId="0" borderId="19" xfId="0" applyFont="1" applyFill="1" applyBorder="1" applyAlignment="1">
      <alignment horizontal="center" vertical="center" wrapText="1"/>
    </xf>
    <xf numFmtId="43" fontId="38" fillId="0" borderId="22" xfId="1" applyFont="1" applyFill="1" applyBorder="1" applyAlignment="1">
      <alignment horizontal="center" vertical="center" wrapText="1"/>
    </xf>
    <xf numFmtId="0" fontId="38" fillId="0" borderId="22" xfId="0" applyFont="1" applyFill="1" applyBorder="1" applyAlignment="1">
      <alignment horizontal="left" vertical="center"/>
    </xf>
    <xf numFmtId="0" fontId="38" fillId="0" borderId="22" xfId="0" applyFont="1" applyFill="1" applyBorder="1" applyAlignment="1">
      <alignment horizontal="left" vertical="center" wrapText="1"/>
    </xf>
    <xf numFmtId="0" fontId="23" fillId="0" borderId="22" xfId="0" applyFont="1" applyFill="1" applyBorder="1" applyAlignment="1">
      <alignment horizontal="right" vertical="center"/>
    </xf>
    <xf numFmtId="0" fontId="23" fillId="0" borderId="38" xfId="0" applyFont="1" applyFill="1" applyBorder="1" applyAlignment="1">
      <alignment horizontal="right" vertical="center"/>
    </xf>
    <xf numFmtId="0" fontId="38" fillId="0" borderId="61" xfId="0" applyFont="1" applyFill="1" applyBorder="1" applyAlignment="1">
      <alignment horizontal="right" vertical="center"/>
    </xf>
    <xf numFmtId="0" fontId="38" fillId="11" borderId="53" xfId="0" applyFont="1" applyFill="1" applyBorder="1" applyAlignment="1">
      <alignment horizontal="center" vertical="center" wrapText="1"/>
    </xf>
    <xf numFmtId="0" fontId="38" fillId="0" borderId="19" xfId="0" applyFont="1" applyBorder="1" applyAlignment="1">
      <alignment horizontal="center" vertical="center"/>
    </xf>
    <xf numFmtId="0" fontId="38" fillId="0" borderId="22" xfId="0" applyFont="1" applyBorder="1" applyAlignment="1">
      <alignment horizontal="center" vertical="center"/>
    </xf>
    <xf numFmtId="0" fontId="0" fillId="16" borderId="69" xfId="0" applyFill="1" applyBorder="1" applyAlignment="1">
      <alignment vertical="center"/>
    </xf>
    <xf numFmtId="0" fontId="0" fillId="16" borderId="79" xfId="0" applyFill="1" applyBorder="1" applyAlignment="1">
      <alignment vertical="center"/>
    </xf>
    <xf numFmtId="0" fontId="38" fillId="0" borderId="24" xfId="0" applyFont="1" applyFill="1" applyBorder="1" applyAlignment="1">
      <alignment horizontal="center" vertical="center"/>
    </xf>
    <xf numFmtId="0" fontId="38" fillId="11" borderId="25" xfId="0" applyFont="1" applyFill="1" applyBorder="1" applyAlignment="1">
      <alignment horizontal="center" vertical="center"/>
    </xf>
    <xf numFmtId="0" fontId="44" fillId="11" borderId="89" xfId="0" applyFont="1" applyFill="1" applyBorder="1" applyAlignment="1">
      <alignment vertical="center" wrapText="1"/>
    </xf>
    <xf numFmtId="0" fontId="44" fillId="11" borderId="91" xfId="0" applyFont="1" applyFill="1" applyBorder="1" applyAlignment="1">
      <alignment vertical="center" wrapText="1"/>
    </xf>
    <xf numFmtId="0" fontId="46" fillId="17" borderId="9" xfId="0" applyFont="1" applyFill="1" applyBorder="1" applyAlignment="1">
      <alignment vertical="center"/>
    </xf>
    <xf numFmtId="0" fontId="48" fillId="0" borderId="24" xfId="0" applyFont="1" applyFill="1" applyBorder="1" applyAlignment="1">
      <alignment horizontal="center" vertical="center"/>
    </xf>
    <xf numFmtId="0" fontId="48" fillId="0" borderId="19" xfId="0" applyFont="1" applyFill="1" applyBorder="1" applyAlignment="1">
      <alignment horizontal="center" vertical="center"/>
    </xf>
    <xf numFmtId="0" fontId="48" fillId="0" borderId="22" xfId="0" applyFont="1" applyFill="1" applyBorder="1" applyAlignment="1">
      <alignment horizontal="center" vertical="center"/>
    </xf>
    <xf numFmtId="0" fontId="48" fillId="0" borderId="61" xfId="0" applyFont="1" applyFill="1" applyBorder="1" applyAlignment="1">
      <alignment horizontal="center" vertical="center"/>
    </xf>
    <xf numFmtId="0" fontId="38" fillId="17" borderId="63" xfId="0" applyFont="1" applyFill="1" applyBorder="1" applyAlignment="1">
      <alignment vertical="center"/>
    </xf>
    <xf numFmtId="0" fontId="38" fillId="17" borderId="83" xfId="0" applyFont="1" applyFill="1" applyBorder="1" applyAlignment="1">
      <alignment vertical="center"/>
    </xf>
    <xf numFmtId="0" fontId="38" fillId="17" borderId="82" xfId="0" applyFont="1" applyFill="1" applyBorder="1" applyAlignment="1"/>
    <xf numFmtId="0" fontId="38" fillId="17" borderId="82" xfId="0" applyFont="1" applyFill="1" applyBorder="1" applyAlignment="1">
      <alignment vertical="center"/>
    </xf>
    <xf numFmtId="0" fontId="46" fillId="17" borderId="83" xfId="0" applyFont="1" applyFill="1" applyBorder="1" applyAlignment="1">
      <alignment horizontal="right" vertical="center"/>
    </xf>
    <xf numFmtId="164" fontId="38" fillId="14" borderId="23" xfId="1" applyNumberFormat="1" applyFont="1" applyFill="1" applyBorder="1" applyAlignment="1"/>
    <xf numFmtId="164" fontId="38" fillId="17" borderId="9" xfId="0" applyNumberFormat="1" applyFont="1" applyFill="1" applyBorder="1" applyAlignment="1">
      <alignment vertical="center"/>
    </xf>
    <xf numFmtId="0" fontId="38" fillId="17" borderId="63" xfId="0" applyFont="1" applyFill="1" applyBorder="1" applyAlignment="1">
      <alignment horizontal="left" vertical="center" wrapText="1"/>
    </xf>
    <xf numFmtId="43" fontId="38" fillId="17" borderId="82" xfId="1" applyFont="1" applyFill="1" applyBorder="1" applyAlignment="1">
      <alignment horizontal="left" vertical="center"/>
    </xf>
    <xf numFmtId="0" fontId="38" fillId="17" borderId="82" xfId="0" applyFont="1" applyFill="1" applyBorder="1" applyAlignment="1">
      <alignment horizontal="left" vertical="center"/>
    </xf>
    <xf numFmtId="0" fontId="38" fillId="17" borderId="82" xfId="0" applyFont="1" applyFill="1" applyBorder="1" applyAlignment="1">
      <alignment horizontal="left" vertical="center" wrapText="1"/>
    </xf>
    <xf numFmtId="0" fontId="38" fillId="17" borderId="82" xfId="0" applyFont="1" applyFill="1" applyBorder="1" applyAlignment="1">
      <alignment horizontal="center" vertical="center"/>
    </xf>
    <xf numFmtId="0" fontId="0" fillId="17" borderId="1" xfId="0" applyFill="1" applyBorder="1" applyAlignment="1">
      <alignment vertical="center"/>
    </xf>
    <xf numFmtId="0" fontId="38" fillId="17" borderId="83" xfId="0" applyFont="1" applyFill="1" applyBorder="1" applyAlignment="1">
      <alignment horizontal="right" vertical="center"/>
    </xf>
    <xf numFmtId="164" fontId="23" fillId="17" borderId="18" xfId="1" applyNumberFormat="1" applyFont="1" applyFill="1" applyBorder="1" applyAlignment="1">
      <alignment vertical="center"/>
    </xf>
    <xf numFmtId="164" fontId="23" fillId="17" borderId="87" xfId="1" applyNumberFormat="1" applyFont="1" applyFill="1" applyBorder="1" applyAlignment="1">
      <alignment vertical="center"/>
    </xf>
    <xf numFmtId="164" fontId="23" fillId="17" borderId="73" xfId="1" applyNumberFormat="1" applyFont="1" applyFill="1" applyBorder="1" applyAlignment="1">
      <alignment vertical="center"/>
    </xf>
    <xf numFmtId="164" fontId="23" fillId="17" borderId="80" xfId="1" applyNumberFormat="1" applyFont="1" applyFill="1" applyBorder="1" applyAlignment="1">
      <alignment vertical="center"/>
    </xf>
    <xf numFmtId="0" fontId="38" fillId="17" borderId="20" xfId="0" applyFont="1" applyFill="1" applyBorder="1" applyAlignment="1">
      <alignment horizontal="center" vertical="center" wrapText="1"/>
    </xf>
    <xf numFmtId="43" fontId="38" fillId="17" borderId="18" xfId="1" applyFont="1" applyFill="1" applyBorder="1" applyAlignment="1">
      <alignment horizontal="center" vertical="center" wrapText="1"/>
    </xf>
    <xf numFmtId="0" fontId="38" fillId="17" borderId="18" xfId="0" applyFont="1" applyFill="1" applyBorder="1" applyAlignment="1">
      <alignment horizontal="left" vertical="center"/>
    </xf>
    <xf numFmtId="0" fontId="38" fillId="17" borderId="18" xfId="0" applyFont="1" applyFill="1" applyBorder="1" applyAlignment="1">
      <alignment horizontal="left" vertical="center" wrapText="1"/>
    </xf>
    <xf numFmtId="0" fontId="23" fillId="17" borderId="31" xfId="0" applyFont="1" applyFill="1" applyBorder="1" applyAlignment="1">
      <alignment horizontal="right" vertical="center"/>
    </xf>
    <xf numFmtId="0" fontId="38" fillId="17" borderId="62" xfId="0" applyFont="1" applyFill="1" applyBorder="1" applyAlignment="1">
      <alignment horizontal="right" vertical="center"/>
    </xf>
    <xf numFmtId="164" fontId="23" fillId="17" borderId="31" xfId="1" applyNumberFormat="1" applyFont="1" applyFill="1" applyBorder="1" applyAlignment="1">
      <alignment vertical="center"/>
    </xf>
    <xf numFmtId="164" fontId="38" fillId="17" borderId="73" xfId="1" applyNumberFormat="1" applyFont="1" applyFill="1" applyBorder="1" applyAlignment="1">
      <alignment vertical="center"/>
    </xf>
    <xf numFmtId="164" fontId="23" fillId="17" borderId="81" xfId="1" applyNumberFormat="1" applyFont="1" applyFill="1" applyBorder="1" applyAlignment="1">
      <alignment vertical="center"/>
    </xf>
    <xf numFmtId="164" fontId="23" fillId="17" borderId="91" xfId="1" applyNumberFormat="1" applyFont="1" applyFill="1" applyBorder="1" applyAlignment="1">
      <alignment vertical="center"/>
    </xf>
    <xf numFmtId="164" fontId="23" fillId="17" borderId="65" xfId="1" applyNumberFormat="1" applyFont="1" applyFill="1" applyBorder="1" applyAlignment="1">
      <alignment vertical="center"/>
    </xf>
    <xf numFmtId="0" fontId="38" fillId="0" borderId="24" xfId="0" applyFont="1" applyFill="1" applyBorder="1" applyAlignment="1">
      <alignment horizontal="right" vertical="center"/>
    </xf>
    <xf numFmtId="0" fontId="38" fillId="17" borderId="25" xfId="0" applyFont="1" applyFill="1" applyBorder="1" applyAlignment="1">
      <alignment horizontal="right" vertical="center"/>
    </xf>
    <xf numFmtId="0" fontId="38" fillId="0" borderId="25" xfId="0" applyFont="1" applyFill="1" applyBorder="1" applyAlignment="1">
      <alignment horizontal="right" vertical="center"/>
    </xf>
    <xf numFmtId="0" fontId="38" fillId="11" borderId="65" xfId="0" applyFont="1" applyFill="1" applyBorder="1" applyAlignment="1">
      <alignment vertical="center"/>
    </xf>
    <xf numFmtId="0" fontId="38" fillId="11" borderId="80" xfId="0" applyFont="1" applyFill="1" applyBorder="1" applyAlignment="1">
      <alignment vertical="center"/>
    </xf>
    <xf numFmtId="0" fontId="45" fillId="0" borderId="51" xfId="0" applyFont="1" applyBorder="1" applyAlignment="1">
      <alignment horizontal="right" vertical="center"/>
    </xf>
    <xf numFmtId="0" fontId="23" fillId="0" borderId="21" xfId="0" applyFont="1" applyBorder="1" applyAlignment="1">
      <alignment horizontal="right" vertical="center"/>
    </xf>
    <xf numFmtId="0" fontId="23" fillId="0" borderId="26" xfId="0" applyFont="1" applyBorder="1" applyAlignment="1">
      <alignment horizontal="right" vertical="center"/>
    </xf>
    <xf numFmtId="0" fontId="23" fillId="11" borderId="39" xfId="0" applyFont="1" applyFill="1" applyBorder="1" applyAlignment="1">
      <alignment horizontal="center" vertical="center" wrapText="1"/>
    </xf>
    <xf numFmtId="164" fontId="23" fillId="5" borderId="20" xfId="1" applyNumberFormat="1" applyFont="1" applyFill="1" applyBorder="1" applyAlignment="1">
      <alignment vertical="center"/>
    </xf>
    <xf numFmtId="164" fontId="23" fillId="17" borderId="21" xfId="1" applyNumberFormat="1" applyFont="1" applyFill="1" applyBorder="1" applyAlignment="1">
      <alignment vertical="center"/>
    </xf>
    <xf numFmtId="164" fontId="23" fillId="17" borderId="32" xfId="1" applyNumberFormat="1" applyFont="1" applyFill="1" applyBorder="1" applyAlignment="1">
      <alignment vertical="center"/>
    </xf>
    <xf numFmtId="0" fontId="0" fillId="17" borderId="20" xfId="0" applyFill="1" applyBorder="1" applyAlignment="1">
      <alignment vertical="center"/>
    </xf>
    <xf numFmtId="164" fontId="23" fillId="17" borderId="49" xfId="1" applyNumberFormat="1" applyFont="1" applyFill="1" applyBorder="1" applyAlignment="1">
      <alignment vertical="center"/>
    </xf>
    <xf numFmtId="164" fontId="23" fillId="17" borderId="34" xfId="1" applyNumberFormat="1" applyFont="1" applyFill="1" applyBorder="1" applyAlignment="1">
      <alignment vertical="center"/>
    </xf>
    <xf numFmtId="164" fontId="23" fillId="17" borderId="51" xfId="1" applyNumberFormat="1" applyFont="1" applyFill="1" applyBorder="1" applyAlignment="1">
      <alignment vertical="center"/>
    </xf>
    <xf numFmtId="164" fontId="23" fillId="17" borderId="44" xfId="1" applyNumberFormat="1" applyFont="1" applyFill="1" applyBorder="1" applyAlignment="1">
      <alignment vertical="center"/>
    </xf>
    <xf numFmtId="164" fontId="38" fillId="17" borderId="49" xfId="1" applyNumberFormat="1" applyFont="1" applyFill="1" applyBorder="1" applyAlignment="1">
      <alignment vertical="center"/>
    </xf>
    <xf numFmtId="164" fontId="38" fillId="17" borderId="34" xfId="1" applyNumberFormat="1" applyFont="1" applyFill="1" applyBorder="1" applyAlignment="1">
      <alignment vertical="center"/>
    </xf>
    <xf numFmtId="164" fontId="38" fillId="17" borderId="51" xfId="1" applyNumberFormat="1" applyFont="1" applyFill="1" applyBorder="1" applyAlignment="1">
      <alignment vertical="center"/>
    </xf>
    <xf numFmtId="0" fontId="38" fillId="17" borderId="25" xfId="0" applyFont="1" applyFill="1" applyBorder="1" applyAlignment="1">
      <alignment vertical="center"/>
    </xf>
    <xf numFmtId="3" fontId="38" fillId="17" borderId="25" xfId="0" applyNumberFormat="1" applyFont="1" applyFill="1" applyBorder="1" applyAlignment="1">
      <alignment vertical="center"/>
    </xf>
    <xf numFmtId="0" fontId="38" fillId="0" borderId="20" xfId="0" applyFont="1" applyBorder="1" applyAlignment="1">
      <alignment horizontal="right" vertical="center"/>
    </xf>
    <xf numFmtId="164" fontId="38" fillId="14" borderId="20" xfId="1" applyNumberFormat="1" applyFont="1" applyFill="1" applyBorder="1" applyAlignment="1">
      <alignment horizontal="right" vertical="center"/>
    </xf>
    <xf numFmtId="0" fontId="38" fillId="17" borderId="20" xfId="0" applyFont="1" applyFill="1" applyBorder="1" applyAlignment="1">
      <alignment horizontal="right" vertical="center"/>
    </xf>
    <xf numFmtId="0" fontId="37" fillId="17" borderId="25" xfId="0" applyFont="1" applyFill="1" applyBorder="1" applyAlignment="1">
      <alignment horizontal="right" vertical="center"/>
    </xf>
    <xf numFmtId="3" fontId="38" fillId="17" borderId="21" xfId="0" applyNumberFormat="1" applyFont="1" applyFill="1" applyBorder="1" applyAlignment="1">
      <alignment vertical="center"/>
    </xf>
    <xf numFmtId="3" fontId="38" fillId="17" borderId="23" xfId="0" applyNumberFormat="1" applyFont="1" applyFill="1" applyBorder="1" applyAlignment="1">
      <alignment vertical="center"/>
    </xf>
    <xf numFmtId="3" fontId="38" fillId="17" borderId="26" xfId="0" applyNumberFormat="1" applyFont="1" applyFill="1" applyBorder="1" applyAlignment="1">
      <alignment vertical="center"/>
    </xf>
    <xf numFmtId="0" fontId="38" fillId="17" borderId="20" xfId="0" applyFont="1" applyFill="1" applyBorder="1" applyAlignment="1">
      <alignment vertical="center"/>
    </xf>
    <xf numFmtId="0" fontId="38" fillId="17" borderId="21" xfId="0" applyFont="1" applyFill="1" applyBorder="1" applyAlignment="1">
      <alignment horizontal="right" vertical="center"/>
    </xf>
    <xf numFmtId="0" fontId="38" fillId="17" borderId="23" xfId="0" applyFont="1" applyFill="1" applyBorder="1" applyAlignment="1">
      <alignment horizontal="right" vertical="center"/>
    </xf>
    <xf numFmtId="3" fontId="23" fillId="17" borderId="26" xfId="0" applyNumberFormat="1" applyFont="1" applyFill="1" applyBorder="1" applyAlignment="1">
      <alignment vertical="center"/>
    </xf>
    <xf numFmtId="49" fontId="36" fillId="17" borderId="20" xfId="0" applyNumberFormat="1" applyFont="1" applyFill="1" applyBorder="1" applyAlignment="1">
      <alignment horizontal="center" vertical="center"/>
    </xf>
    <xf numFmtId="0" fontId="39" fillId="17" borderId="20" xfId="0" applyFont="1" applyFill="1" applyBorder="1" applyAlignment="1">
      <alignment vertical="center"/>
    </xf>
    <xf numFmtId="0" fontId="0" fillId="16" borderId="21" xfId="0" applyFill="1" applyBorder="1" applyAlignment="1">
      <alignment vertical="center"/>
    </xf>
    <xf numFmtId="0" fontId="48" fillId="0" borderId="31" xfId="0" applyFont="1" applyFill="1" applyBorder="1" applyAlignment="1">
      <alignment horizontal="center" vertical="center"/>
    </xf>
    <xf numFmtId="3" fontId="23" fillId="17" borderId="31" xfId="0" applyNumberFormat="1" applyFont="1" applyFill="1" applyBorder="1" applyAlignment="1">
      <alignment vertical="center"/>
    </xf>
    <xf numFmtId="3" fontId="23" fillId="0" borderId="31" xfId="0" applyNumberFormat="1" applyFont="1" applyBorder="1" applyAlignment="1">
      <alignment vertical="center"/>
    </xf>
    <xf numFmtId="164" fontId="23" fillId="0" borderId="31" xfId="1" applyNumberFormat="1" applyFont="1" applyBorder="1" applyAlignment="1">
      <alignment horizontal="right" vertical="center"/>
    </xf>
    <xf numFmtId="0" fontId="41" fillId="17" borderId="20" xfId="0" applyFont="1" applyFill="1" applyBorder="1" applyAlignment="1">
      <alignment horizontal="left" vertical="center"/>
    </xf>
    <xf numFmtId="3" fontId="40" fillId="17" borderId="20" xfId="0" applyNumberFormat="1" applyFont="1" applyFill="1" applyBorder="1" applyAlignment="1">
      <alignment vertical="center"/>
    </xf>
    <xf numFmtId="49" fontId="38" fillId="16" borderId="21" xfId="0" applyNumberFormat="1" applyFont="1" applyFill="1" applyBorder="1" applyAlignment="1">
      <alignment horizontal="center" vertical="center"/>
    </xf>
    <xf numFmtId="3" fontId="23" fillId="17" borderId="23" xfId="0" applyNumberFormat="1" applyFont="1" applyFill="1" applyBorder="1" applyAlignment="1">
      <alignment horizontal="right" vertical="center"/>
    </xf>
    <xf numFmtId="3" fontId="38" fillId="17" borderId="23" xfId="0" applyNumberFormat="1" applyFont="1" applyFill="1" applyBorder="1" applyAlignment="1">
      <alignment horizontal="right" vertical="center"/>
    </xf>
    <xf numFmtId="3" fontId="23" fillId="17" borderId="39" xfId="0" applyNumberFormat="1" applyFont="1" applyFill="1" applyBorder="1" applyAlignment="1">
      <alignment horizontal="right" vertical="center"/>
    </xf>
    <xf numFmtId="164" fontId="23" fillId="14" borderId="20" xfId="1" applyNumberFormat="1" applyFont="1" applyFill="1" applyBorder="1" applyAlignment="1">
      <alignment horizontal="right" vertical="center"/>
    </xf>
    <xf numFmtId="3" fontId="23" fillId="17" borderId="21" xfId="0" applyNumberFormat="1" applyFont="1" applyFill="1" applyBorder="1" applyAlignment="1">
      <alignment horizontal="right" vertical="center"/>
    </xf>
    <xf numFmtId="0" fontId="23" fillId="0" borderId="20" xfId="0" applyFont="1" applyBorder="1" applyAlignment="1">
      <alignment vertical="center"/>
    </xf>
    <xf numFmtId="0" fontId="3" fillId="18" borderId="39" xfId="0" applyFont="1" applyFill="1" applyBorder="1" applyAlignment="1">
      <alignment horizontal="center" vertical="center" wrapText="1"/>
    </xf>
    <xf numFmtId="0" fontId="3" fillId="18" borderId="55" xfId="0" applyFont="1" applyFill="1" applyBorder="1" applyAlignment="1">
      <alignment horizontal="center" vertical="center"/>
    </xf>
    <xf numFmtId="0" fontId="3" fillId="18" borderId="57" xfId="0" applyFont="1" applyFill="1" applyBorder="1" applyAlignment="1">
      <alignment horizontal="center" vertical="center" wrapText="1"/>
    </xf>
    <xf numFmtId="0" fontId="1" fillId="11" borderId="69" xfId="0" applyFont="1" applyFill="1" applyBorder="1" applyAlignment="1">
      <alignment horizontal="center" vertical="center"/>
    </xf>
    <xf numFmtId="164" fontId="1" fillId="11" borderId="52" xfId="1" applyNumberFormat="1" applyFont="1" applyFill="1" applyBorder="1" applyAlignment="1">
      <alignment vertical="center"/>
    </xf>
    <xf numFmtId="164" fontId="1" fillId="11" borderId="45" xfId="1" applyNumberFormat="1" applyFont="1" applyFill="1" applyBorder="1" applyAlignment="1">
      <alignment vertical="center"/>
    </xf>
    <xf numFmtId="164" fontId="0" fillId="11" borderId="25" xfId="1" applyNumberFormat="1" applyFont="1" applyFill="1" applyBorder="1" applyAlignment="1">
      <alignment vertical="center"/>
    </xf>
    <xf numFmtId="0" fontId="1" fillId="11" borderId="27" xfId="0" applyFont="1" applyFill="1" applyBorder="1" applyAlignment="1">
      <alignment horizontal="center" vertical="center"/>
    </xf>
    <xf numFmtId="164" fontId="1" fillId="11" borderId="61" xfId="1" applyNumberFormat="1" applyFont="1" applyFill="1" applyBorder="1" applyAlignment="1">
      <alignment vertical="center"/>
    </xf>
    <xf numFmtId="164" fontId="3" fillId="11" borderId="25" xfId="1" applyNumberFormat="1" applyFont="1" applyFill="1" applyBorder="1" applyAlignment="1">
      <alignment vertical="center"/>
    </xf>
    <xf numFmtId="0" fontId="1" fillId="11" borderId="67" xfId="0" applyFont="1" applyFill="1" applyBorder="1" applyAlignment="1">
      <alignment horizontal="center" vertical="center"/>
    </xf>
    <xf numFmtId="164" fontId="1" fillId="11" borderId="22" xfId="1" applyNumberFormat="1" applyFont="1" applyFill="1" applyBorder="1" applyAlignment="1">
      <alignment vertical="center"/>
    </xf>
    <xf numFmtId="164" fontId="1" fillId="11" borderId="35" xfId="1" applyNumberFormat="1" applyFont="1" applyFill="1" applyBorder="1" applyAlignment="1">
      <alignment vertical="center"/>
    </xf>
    <xf numFmtId="164" fontId="0" fillId="11" borderId="18" xfId="1" applyNumberFormat="1" applyFont="1" applyFill="1" applyBorder="1" applyAlignment="1">
      <alignment vertical="center"/>
    </xf>
    <xf numFmtId="0" fontId="3" fillId="18" borderId="92" xfId="0" applyFont="1" applyFill="1" applyBorder="1" applyAlignment="1">
      <alignment horizontal="center" vertical="center" wrapText="1"/>
    </xf>
    <xf numFmtId="0" fontId="0" fillId="11" borderId="62" xfId="0" applyFont="1" applyFill="1" applyBorder="1" applyAlignment="1">
      <alignment vertical="center"/>
    </xf>
    <xf numFmtId="164" fontId="0" fillId="11" borderId="62" xfId="1" applyNumberFormat="1" applyFont="1" applyFill="1" applyBorder="1"/>
    <xf numFmtId="0" fontId="3" fillId="0" borderId="33" xfId="0" applyFont="1" applyBorder="1" applyAlignment="1">
      <alignment horizontal="right" vertical="center"/>
    </xf>
    <xf numFmtId="0" fontId="0" fillId="0" borderId="51" xfId="0" applyBorder="1" applyAlignment="1">
      <alignment vertical="center"/>
    </xf>
    <xf numFmtId="0" fontId="0" fillId="0" borderId="18" xfId="0" applyFont="1" applyFill="1" applyBorder="1" applyAlignment="1">
      <alignment vertical="center"/>
    </xf>
    <xf numFmtId="0" fontId="3" fillId="10" borderId="9" xfId="0" applyFont="1" applyFill="1" applyBorder="1" applyAlignment="1">
      <alignment horizontal="left" vertical="center"/>
    </xf>
    <xf numFmtId="0" fontId="3" fillId="9" borderId="83" xfId="0" applyFont="1" applyFill="1" applyBorder="1" applyAlignment="1">
      <alignment horizontal="right" vertical="center"/>
    </xf>
    <xf numFmtId="0" fontId="14" fillId="0" borderId="18" xfId="0" applyFont="1" applyFill="1" applyBorder="1" applyAlignment="1">
      <alignment horizontal="center" vertical="center"/>
    </xf>
    <xf numFmtId="0" fontId="3" fillId="9" borderId="83" xfId="0" applyFont="1" applyFill="1" applyBorder="1" applyAlignment="1">
      <alignment horizontal="left" vertical="center"/>
    </xf>
    <xf numFmtId="0" fontId="3" fillId="11" borderId="9" xfId="0" applyFont="1" applyFill="1" applyBorder="1" applyAlignment="1">
      <alignment horizontal="right"/>
    </xf>
    <xf numFmtId="0" fontId="3" fillId="0" borderId="63" xfId="0" applyFont="1" applyBorder="1" applyAlignment="1">
      <alignment horizontal="right"/>
    </xf>
    <xf numFmtId="0" fontId="3" fillId="0" borderId="82" xfId="0" applyFont="1" applyBorder="1" applyAlignment="1">
      <alignment horizontal="right"/>
    </xf>
    <xf numFmtId="0" fontId="14" fillId="0" borderId="19" xfId="0" quotePrefix="1" applyFont="1" applyFill="1" applyBorder="1" applyAlignment="1">
      <alignment horizontal="center" vertical="center"/>
    </xf>
    <xf numFmtId="0" fontId="14" fillId="0" borderId="22" xfId="0" quotePrefix="1" applyFont="1" applyFill="1" applyBorder="1" applyAlignment="1">
      <alignment horizontal="center" vertical="center"/>
    </xf>
    <xf numFmtId="0" fontId="53" fillId="11" borderId="18" xfId="0" applyFont="1" applyFill="1" applyBorder="1" applyAlignment="1">
      <alignment horizontal="center" vertical="center" wrapText="1"/>
    </xf>
    <xf numFmtId="164" fontId="14" fillId="11" borderId="23" xfId="1" applyNumberFormat="1" applyFont="1" applyFill="1" applyBorder="1" applyAlignment="1">
      <alignment horizontal="center" wrapText="1"/>
    </xf>
    <xf numFmtId="164" fontId="0" fillId="14" borderId="23" xfId="1" applyNumberFormat="1" applyFont="1" applyFill="1" applyBorder="1" applyAlignment="1">
      <alignment vertical="center"/>
    </xf>
    <xf numFmtId="164" fontId="0" fillId="16" borderId="18" xfId="1" applyNumberFormat="1" applyFont="1" applyFill="1" applyBorder="1"/>
    <xf numFmtId="164" fontId="0" fillId="16" borderId="23" xfId="1" applyNumberFormat="1" applyFont="1" applyFill="1" applyBorder="1"/>
    <xf numFmtId="164" fontId="54" fillId="11" borderId="70" xfId="1" applyNumberFormat="1" applyFont="1" applyFill="1" applyBorder="1"/>
    <xf numFmtId="0" fontId="12" fillId="10" borderId="28" xfId="0" applyFont="1" applyFill="1" applyBorder="1" applyAlignment="1">
      <alignment horizontal="center" vertical="center" wrapText="1"/>
    </xf>
    <xf numFmtId="0" fontId="12" fillId="10" borderId="29" xfId="0" applyFont="1" applyFill="1" applyBorder="1" applyAlignment="1">
      <alignment horizontal="center" vertical="center"/>
    </xf>
    <xf numFmtId="0" fontId="19" fillId="10" borderId="96" xfId="0" applyFont="1" applyFill="1" applyBorder="1" applyAlignment="1">
      <alignment horizontal="center" vertical="center"/>
    </xf>
    <xf numFmtId="0" fontId="12" fillId="10" borderId="48" xfId="0" applyFont="1" applyFill="1" applyBorder="1" applyAlignment="1">
      <alignment horizontal="center" vertical="center" wrapText="1"/>
    </xf>
    <xf numFmtId="164" fontId="0" fillId="16" borderId="32" xfId="1" applyNumberFormat="1" applyFont="1" applyFill="1" applyBorder="1" applyAlignment="1">
      <alignment vertical="center"/>
    </xf>
    <xf numFmtId="164" fontId="0" fillId="5" borderId="34" xfId="1" applyNumberFormat="1" applyFont="1" applyFill="1" applyBorder="1" applyAlignment="1">
      <alignment horizontal="center" vertical="center"/>
    </xf>
    <xf numFmtId="0" fontId="38" fillId="0" borderId="18" xfId="0" applyFont="1" applyBorder="1" applyAlignment="1">
      <alignment horizontal="center" vertical="center"/>
    </xf>
    <xf numFmtId="0" fontId="0" fillId="0" borderId="10" xfId="0" applyBorder="1" applyAlignment="1">
      <alignment vertical="center"/>
    </xf>
    <xf numFmtId="0" fontId="0" fillId="0" borderId="34" xfId="0" applyFont="1" applyBorder="1" applyAlignment="1">
      <alignment vertical="center"/>
    </xf>
    <xf numFmtId="0" fontId="0" fillId="0" borderId="18" xfId="0" applyFont="1" applyFill="1" applyBorder="1" applyAlignment="1">
      <alignment horizontal="center" vertical="center"/>
    </xf>
    <xf numFmtId="0" fontId="3" fillId="11" borderId="48" xfId="0" applyFont="1" applyFill="1" applyBorder="1" applyAlignment="1">
      <alignment horizontal="right"/>
    </xf>
    <xf numFmtId="0" fontId="3" fillId="10" borderId="48" xfId="0" applyFont="1" applyFill="1" applyBorder="1" applyAlignment="1">
      <alignment horizontal="left" vertical="center"/>
    </xf>
    <xf numFmtId="164" fontId="0" fillId="11" borderId="70" xfId="1" applyNumberFormat="1" applyFont="1" applyFill="1" applyBorder="1"/>
    <xf numFmtId="0" fontId="3" fillId="0" borderId="78" xfId="0" applyFont="1" applyBorder="1" applyAlignment="1">
      <alignment horizontal="right" vertical="center"/>
    </xf>
    <xf numFmtId="0" fontId="3" fillId="0" borderId="60" xfId="0" applyFont="1" applyBorder="1" applyAlignment="1">
      <alignment horizontal="right" vertical="center"/>
    </xf>
    <xf numFmtId="164" fontId="0" fillId="14" borderId="18" xfId="1" applyNumberFormat="1" applyFont="1" applyFill="1" applyBorder="1" applyAlignment="1">
      <alignment horizontal="left" vertical="center"/>
    </xf>
    <xf numFmtId="0" fontId="14" fillId="0" borderId="18" xfId="0" applyFont="1" applyBorder="1" applyAlignment="1">
      <alignment horizontal="left" vertical="center"/>
    </xf>
    <xf numFmtId="0" fontId="3" fillId="0" borderId="82" xfId="0" applyFont="1" applyFill="1" applyBorder="1" applyAlignment="1">
      <alignment vertical="center"/>
    </xf>
    <xf numFmtId="164" fontId="3" fillId="0" borderId="82" xfId="1" applyNumberFormat="1" applyFont="1" applyFill="1" applyBorder="1" applyAlignment="1">
      <alignment vertical="center"/>
    </xf>
    <xf numFmtId="164" fontId="0" fillId="5" borderId="49" xfId="1" applyNumberFormat="1" applyFont="1" applyFill="1" applyBorder="1" applyAlignment="1">
      <alignment horizontal="center" vertical="center"/>
    </xf>
    <xf numFmtId="164" fontId="18" fillId="0" borderId="34" xfId="1" applyNumberFormat="1" applyFont="1" applyBorder="1" applyAlignment="1">
      <alignment horizontal="center" vertical="center"/>
    </xf>
    <xf numFmtId="9" fontId="18" fillId="6" borderId="34" xfId="3" applyFont="1" applyFill="1" applyBorder="1" applyAlignment="1">
      <alignment horizontal="center" vertical="center"/>
    </xf>
    <xf numFmtId="164" fontId="14" fillId="5" borderId="31" xfId="1" applyNumberFormat="1" applyFont="1" applyFill="1" applyBorder="1" applyAlignment="1">
      <alignment horizontal="center" vertical="center"/>
    </xf>
    <xf numFmtId="164" fontId="14" fillId="5" borderId="42" xfId="1" applyNumberFormat="1" applyFont="1" applyFill="1" applyBorder="1" applyAlignment="1">
      <alignment horizontal="center" vertical="center"/>
    </xf>
    <xf numFmtId="0" fontId="0" fillId="0" borderId="39" xfId="0" applyBorder="1"/>
    <xf numFmtId="164" fontId="18" fillId="6" borderId="20" xfId="1" applyNumberFormat="1" applyFont="1" applyFill="1" applyBorder="1" applyAlignment="1">
      <alignment horizontal="center" vertical="center"/>
    </xf>
    <xf numFmtId="9" fontId="18" fillId="6" borderId="49" xfId="3" applyFont="1" applyFill="1" applyBorder="1" applyAlignment="1">
      <alignment horizontal="center" vertical="center"/>
    </xf>
    <xf numFmtId="9" fontId="18" fillId="6" borderId="51" xfId="3" applyFont="1" applyFill="1" applyBorder="1" applyAlignment="1">
      <alignment horizontal="center" vertical="center"/>
    </xf>
    <xf numFmtId="0" fontId="6" fillId="3" borderId="66" xfId="0" applyFont="1" applyFill="1" applyBorder="1" applyAlignment="1">
      <alignment vertical="center"/>
    </xf>
    <xf numFmtId="0" fontId="12" fillId="10" borderId="40" xfId="0" applyFont="1" applyFill="1" applyBorder="1" applyAlignment="1">
      <alignment horizontal="center" vertical="center" wrapText="1"/>
    </xf>
    <xf numFmtId="0" fontId="0" fillId="0" borderId="97" xfId="0" applyFont="1" applyBorder="1" applyAlignment="1">
      <alignment vertical="center"/>
    </xf>
    <xf numFmtId="0" fontId="0" fillId="0" borderId="33" xfId="0" applyBorder="1" applyAlignment="1">
      <alignment vertical="center"/>
    </xf>
    <xf numFmtId="164" fontId="14" fillId="5" borderId="18" xfId="1" applyNumberFormat="1" applyFont="1" applyFill="1" applyBorder="1" applyAlignment="1">
      <alignment horizontal="center" vertical="center"/>
    </xf>
    <xf numFmtId="0" fontId="32" fillId="11" borderId="18" xfId="0" applyFont="1" applyFill="1" applyBorder="1" applyAlignment="1">
      <alignment horizontal="center" vertical="center" wrapText="1"/>
    </xf>
    <xf numFmtId="164" fontId="1" fillId="0" borderId="18" xfId="1" applyNumberFormat="1" applyFont="1" applyBorder="1" applyAlignment="1">
      <alignment vertical="center"/>
    </xf>
    <xf numFmtId="164" fontId="1" fillId="14" borderId="20" xfId="1" applyNumberFormat="1" applyFont="1" applyFill="1" applyBorder="1" applyAlignment="1">
      <alignment vertical="center"/>
    </xf>
    <xf numFmtId="164" fontId="1" fillId="0" borderId="20" xfId="1" applyNumberFormat="1" applyFont="1" applyBorder="1" applyAlignment="1">
      <alignment vertical="center"/>
    </xf>
    <xf numFmtId="164" fontId="1" fillId="14" borderId="21" xfId="1" applyNumberFormat="1" applyFont="1" applyFill="1" applyBorder="1" applyAlignment="1">
      <alignment vertical="center"/>
    </xf>
    <xf numFmtId="164" fontId="1" fillId="14" borderId="25" xfId="1" applyNumberFormat="1" applyFont="1" applyFill="1" applyBorder="1" applyAlignment="1">
      <alignment vertical="center"/>
    </xf>
    <xf numFmtId="164" fontId="1" fillId="0" borderId="25" xfId="1" applyNumberFormat="1" applyFont="1" applyBorder="1" applyAlignment="1">
      <alignment vertical="center"/>
    </xf>
    <xf numFmtId="164" fontId="1" fillId="14" borderId="26" xfId="1" applyNumberFormat="1" applyFont="1" applyFill="1" applyBorder="1" applyAlignment="1">
      <alignment vertical="center"/>
    </xf>
    <xf numFmtId="164" fontId="0" fillId="14" borderId="26" xfId="1" applyNumberFormat="1" applyFont="1" applyFill="1" applyBorder="1" applyAlignment="1">
      <alignment vertical="center"/>
    </xf>
    <xf numFmtId="164" fontId="49" fillId="19" borderId="18" xfId="1" applyNumberFormat="1" applyFont="1" applyFill="1" applyBorder="1"/>
    <xf numFmtId="164" fontId="49" fillId="19" borderId="23" xfId="1" applyNumberFormat="1" applyFont="1" applyFill="1" applyBorder="1"/>
    <xf numFmtId="164" fontId="49" fillId="19" borderId="20" xfId="1" applyNumberFormat="1" applyFont="1" applyFill="1" applyBorder="1" applyAlignment="1">
      <alignment vertical="center"/>
    </xf>
    <xf numFmtId="164" fontId="49" fillId="19" borderId="18" xfId="1" applyNumberFormat="1" applyFont="1" applyFill="1" applyBorder="1" applyAlignment="1">
      <alignment vertical="center"/>
    </xf>
    <xf numFmtId="164" fontId="49" fillId="19" borderId="21" xfId="1" applyNumberFormat="1" applyFont="1" applyFill="1" applyBorder="1" applyAlignment="1">
      <alignment vertical="center"/>
    </xf>
    <xf numFmtId="164" fontId="49" fillId="19" borderId="23" xfId="1" applyNumberFormat="1" applyFont="1" applyFill="1" applyBorder="1" applyAlignment="1">
      <alignment vertical="center"/>
    </xf>
    <xf numFmtId="164" fontId="14" fillId="14" borderId="18" xfId="1" applyNumberFormat="1" applyFont="1" applyFill="1" applyBorder="1"/>
    <xf numFmtId="0" fontId="14" fillId="0" borderId="18" xfId="0" applyFont="1" applyBorder="1" applyAlignment="1">
      <alignment horizontal="center" vertical="center" wrapText="1"/>
    </xf>
    <xf numFmtId="0" fontId="38" fillId="0" borderId="22" xfId="0" applyFont="1" applyBorder="1" applyAlignment="1">
      <alignment horizontal="center" vertical="center" wrapText="1"/>
    </xf>
    <xf numFmtId="0" fontId="0" fillId="11" borderId="62" xfId="0" applyFont="1" applyFill="1" applyBorder="1" applyAlignment="1">
      <alignment horizontal="center" vertical="center"/>
    </xf>
    <xf numFmtId="0" fontId="2" fillId="18" borderId="9" xfId="0" applyFont="1" applyFill="1" applyBorder="1" applyAlignment="1">
      <alignment horizontal="center" vertical="center"/>
    </xf>
    <xf numFmtId="0" fontId="14" fillId="0" borderId="33" xfId="0" applyFont="1" applyBorder="1" applyAlignment="1">
      <alignment vertical="center"/>
    </xf>
    <xf numFmtId="164" fontId="0" fillId="14" borderId="33" xfId="1" applyNumberFormat="1" applyFont="1" applyFill="1" applyBorder="1" applyAlignment="1">
      <alignment vertical="center"/>
    </xf>
    <xf numFmtId="0" fontId="38" fillId="0" borderId="19" xfId="0" applyFont="1" applyBorder="1" applyAlignment="1">
      <alignment horizontal="center" vertical="center" wrapText="1"/>
    </xf>
    <xf numFmtId="0" fontId="38" fillId="0" borderId="24" xfId="0" applyFont="1" applyBorder="1" applyAlignment="1">
      <alignment horizontal="center" vertical="center" wrapText="1"/>
    </xf>
    <xf numFmtId="0" fontId="45" fillId="0" borderId="24" xfId="0" applyFont="1" applyBorder="1" applyAlignment="1">
      <alignment horizontal="center" vertical="center"/>
    </xf>
    <xf numFmtId="0" fontId="46" fillId="0" borderId="24" xfId="0" applyFont="1" applyBorder="1" applyAlignment="1">
      <alignment horizontal="center" vertical="center"/>
    </xf>
    <xf numFmtId="0" fontId="46" fillId="0" borderId="61" xfId="0" applyFont="1" applyBorder="1" applyAlignment="1">
      <alignment horizontal="center" vertical="center"/>
    </xf>
    <xf numFmtId="0" fontId="38" fillId="0" borderId="18" xfId="0" applyFont="1" applyBorder="1" applyAlignment="1">
      <alignment horizontal="center" vertical="center"/>
    </xf>
    <xf numFmtId="0" fontId="38" fillId="0" borderId="18" xfId="0" applyFont="1" applyBorder="1" applyAlignment="1">
      <alignment vertical="center"/>
    </xf>
    <xf numFmtId="0" fontId="38" fillId="0" borderId="20" xfId="0" applyFont="1" applyBorder="1" applyAlignment="1">
      <alignment horizontal="center" vertical="center"/>
    </xf>
    <xf numFmtId="0" fontId="44" fillId="11" borderId="23" xfId="0" applyFont="1" applyFill="1" applyBorder="1" applyAlignment="1">
      <alignment horizontal="right" vertical="center"/>
    </xf>
    <xf numFmtId="0" fontId="60" fillId="11" borderId="21" xfId="0" applyFont="1" applyFill="1" applyBorder="1" applyAlignment="1">
      <alignment horizontal="right" vertical="center"/>
    </xf>
    <xf numFmtId="0" fontId="60" fillId="11" borderId="23" xfId="0" applyFont="1" applyFill="1" applyBorder="1" applyAlignment="1">
      <alignment horizontal="right" vertical="center"/>
    </xf>
    <xf numFmtId="0" fontId="38" fillId="0" borderId="18" xfId="0" applyFont="1" applyFill="1" applyBorder="1" applyAlignment="1">
      <alignment horizontal="center" vertical="center" wrapText="1"/>
    </xf>
    <xf numFmtId="0" fontId="23" fillId="0" borderId="18" xfId="0" applyFont="1" applyFill="1" applyBorder="1" applyAlignment="1">
      <alignment horizontal="center" vertical="center"/>
    </xf>
    <xf numFmtId="0" fontId="38" fillId="17" borderId="72" xfId="0" applyFont="1" applyFill="1" applyBorder="1" applyAlignment="1">
      <alignment horizontal="center" vertical="center" wrapText="1"/>
    </xf>
    <xf numFmtId="0" fontId="38" fillId="17" borderId="9" xfId="0" applyFont="1" applyFill="1" applyBorder="1" applyAlignment="1">
      <alignment horizontal="center" vertical="center" wrapText="1"/>
    </xf>
    <xf numFmtId="0" fontId="36" fillId="17" borderId="20" xfId="0" applyFont="1" applyFill="1" applyBorder="1" applyAlignment="1">
      <alignment vertical="center" wrapText="1"/>
    </xf>
    <xf numFmtId="0" fontId="36" fillId="17" borderId="18" xfId="0" applyFont="1" applyFill="1" applyBorder="1" applyAlignment="1">
      <alignment vertical="center" wrapText="1"/>
    </xf>
    <xf numFmtId="0" fontId="14" fillId="17" borderId="25" xfId="0" applyFont="1" applyFill="1" applyBorder="1" applyAlignment="1">
      <alignment horizontal="center" vertical="center"/>
    </xf>
    <xf numFmtId="49" fontId="36" fillId="17" borderId="20" xfId="0" applyNumberFormat="1" applyFont="1" applyFill="1" applyBorder="1" applyAlignment="1">
      <alignment horizontal="left" vertical="center"/>
    </xf>
    <xf numFmtId="0" fontId="0" fillId="17" borderId="32" xfId="0" applyFill="1" applyBorder="1" applyAlignment="1">
      <alignment vertical="center"/>
    </xf>
    <xf numFmtId="0" fontId="36" fillId="17" borderId="20" xfId="0" applyFont="1" applyFill="1" applyBorder="1" applyAlignment="1">
      <alignment horizontal="left" vertical="center" wrapText="1"/>
    </xf>
    <xf numFmtId="0" fontId="0" fillId="17" borderId="18" xfId="0" applyFill="1" applyBorder="1" applyAlignment="1">
      <alignment horizontal="left" vertical="center" wrapText="1"/>
    </xf>
    <xf numFmtId="0" fontId="0" fillId="17" borderId="25" xfId="0" applyFill="1" applyBorder="1" applyAlignment="1">
      <alignment horizontal="left" vertical="center" wrapText="1"/>
    </xf>
    <xf numFmtId="164" fontId="38" fillId="17" borderId="20" xfId="1" applyNumberFormat="1" applyFont="1" applyFill="1" applyBorder="1" applyAlignment="1">
      <alignment horizontal="center" vertical="center"/>
    </xf>
    <xf numFmtId="164" fontId="38" fillId="17" borderId="18" xfId="1" applyNumberFormat="1" applyFont="1" applyFill="1" applyBorder="1" applyAlignment="1">
      <alignment horizontal="center" vertical="center"/>
    </xf>
    <xf numFmtId="164" fontId="38" fillId="17" borderId="25" xfId="1" applyNumberFormat="1" applyFont="1" applyFill="1" applyBorder="1" applyAlignment="1">
      <alignment horizontal="center" vertical="center"/>
    </xf>
    <xf numFmtId="0" fontId="38" fillId="17" borderId="25" xfId="0" applyFont="1" applyFill="1" applyBorder="1" applyAlignment="1">
      <alignment horizontal="left" vertical="center"/>
    </xf>
    <xf numFmtId="0" fontId="14" fillId="17" borderId="18" xfId="0" applyFont="1" applyFill="1" applyBorder="1" applyAlignment="1">
      <alignment vertical="center"/>
    </xf>
    <xf numFmtId="0" fontId="14" fillId="17" borderId="18" xfId="0" applyFont="1" applyFill="1" applyBorder="1" applyAlignment="1">
      <alignment horizontal="center" vertical="center"/>
    </xf>
    <xf numFmtId="0" fontId="0" fillId="0" borderId="0" xfId="0" applyAlignment="1">
      <alignment vertical="center"/>
    </xf>
    <xf numFmtId="0" fontId="57" fillId="0" borderId="20"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164" fontId="0" fillId="14" borderId="18" xfId="1" applyNumberFormat="1" applyFont="1" applyFill="1" applyBorder="1" applyAlignment="1">
      <alignment horizontal="center" vertical="center"/>
    </xf>
    <xf numFmtId="164" fontId="0" fillId="14" borderId="23" xfId="1" applyNumberFormat="1" applyFont="1" applyFill="1" applyBorder="1" applyAlignment="1">
      <alignment horizontal="center" vertical="center"/>
    </xf>
    <xf numFmtId="0" fontId="0" fillId="0" borderId="0" xfId="0" applyAlignment="1">
      <alignment vertical="center"/>
    </xf>
    <xf numFmtId="164" fontId="0" fillId="0" borderId="50" xfId="1" applyNumberFormat="1" applyFont="1" applyBorder="1" applyAlignment="1">
      <alignment horizontal="center" vertical="center"/>
    </xf>
    <xf numFmtId="0" fontId="0" fillId="0" borderId="22" xfId="0" applyBorder="1" applyAlignment="1">
      <alignment vertical="center"/>
    </xf>
    <xf numFmtId="164" fontId="0" fillId="0" borderId="23" xfId="1" applyNumberFormat="1" applyFont="1" applyBorder="1" applyAlignment="1">
      <alignment horizontal="center" vertical="center"/>
    </xf>
    <xf numFmtId="0" fontId="14" fillId="0" borderId="34" xfId="0" quotePrefix="1" applyFont="1" applyBorder="1" applyAlignment="1">
      <alignment vertical="center"/>
    </xf>
    <xf numFmtId="0" fontId="14" fillId="0" borderId="34" xfId="0" quotePrefix="1" applyFont="1" applyBorder="1" applyAlignment="1">
      <alignment vertical="center" wrapText="1"/>
    </xf>
    <xf numFmtId="0" fontId="0" fillId="0" borderId="24" xfId="0" applyBorder="1" applyAlignment="1">
      <alignment vertical="center"/>
    </xf>
    <xf numFmtId="0" fontId="14" fillId="0" borderId="25" xfId="0" quotePrefix="1" applyFont="1" applyBorder="1" applyAlignment="1">
      <alignment vertical="center"/>
    </xf>
    <xf numFmtId="0" fontId="14" fillId="0" borderId="51" xfId="0" quotePrefix="1" applyFont="1" applyBorder="1" applyAlignment="1">
      <alignment vertical="center"/>
    </xf>
    <xf numFmtId="164" fontId="0" fillId="0" borderId="26" xfId="1" applyNumberFormat="1" applyFont="1" applyBorder="1" applyAlignment="1">
      <alignment horizontal="center" vertical="center"/>
    </xf>
    <xf numFmtId="0" fontId="14" fillId="0" borderId="51" xfId="0" quotePrefix="1" applyFont="1" applyBorder="1" applyAlignment="1">
      <alignment vertical="center" wrapText="1"/>
    </xf>
    <xf numFmtId="0" fontId="0" fillId="0" borderId="25" xfId="0"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5" fillId="11" borderId="18" xfId="0" applyFont="1" applyFill="1" applyBorder="1" applyAlignment="1">
      <alignment horizontal="left" vertical="center" wrapText="1"/>
    </xf>
    <xf numFmtId="0" fontId="0" fillId="0" borderId="58" xfId="0" applyBorder="1" applyAlignment="1">
      <alignment vertical="center"/>
    </xf>
    <xf numFmtId="0" fontId="14" fillId="0" borderId="46" xfId="0" applyFont="1" applyBorder="1" applyAlignment="1">
      <alignment vertical="center" wrapText="1"/>
    </xf>
    <xf numFmtId="0" fontId="3" fillId="0" borderId="71" xfId="0" applyFont="1" applyBorder="1" applyAlignment="1">
      <alignment horizontal="left" vertical="center" wrapText="1"/>
    </xf>
    <xf numFmtId="164" fontId="0" fillId="0" borderId="92" xfId="1" applyNumberFormat="1" applyFont="1" applyBorder="1" applyAlignment="1">
      <alignment horizontal="center" vertical="center"/>
    </xf>
    <xf numFmtId="0" fontId="24" fillId="0" borderId="46" xfId="0" applyFont="1" applyBorder="1" applyAlignment="1">
      <alignment vertical="center"/>
    </xf>
    <xf numFmtId="0" fontId="0" fillId="0" borderId="58" xfId="0" applyBorder="1" applyAlignment="1">
      <alignment horizontal="center" vertical="center"/>
    </xf>
    <xf numFmtId="0" fontId="14" fillId="0" borderId="33" xfId="0" applyFont="1" applyBorder="1" applyAlignment="1">
      <alignment horizontal="left" vertical="center" wrapText="1"/>
    </xf>
    <xf numFmtId="0" fontId="0" fillId="0" borderId="62" xfId="0" applyBorder="1" applyAlignment="1">
      <alignment horizontal="center" vertical="center"/>
    </xf>
    <xf numFmtId="0" fontId="0" fillId="0" borderId="65" xfId="0" applyBorder="1" applyAlignment="1">
      <alignment vertical="center"/>
    </xf>
    <xf numFmtId="0" fontId="0" fillId="0" borderId="73" xfId="0" applyBorder="1" applyAlignment="1">
      <alignment vertical="center"/>
    </xf>
    <xf numFmtId="0" fontId="0" fillId="0" borderId="80" xfId="0" applyBorder="1" applyAlignment="1">
      <alignment vertical="center"/>
    </xf>
    <xf numFmtId="0" fontId="0" fillId="0" borderId="35" xfId="0" applyBorder="1" applyAlignment="1">
      <alignment vertical="center"/>
    </xf>
    <xf numFmtId="0" fontId="0" fillId="0" borderId="66" xfId="0" applyBorder="1" applyAlignment="1">
      <alignment vertical="center"/>
    </xf>
    <xf numFmtId="0" fontId="0" fillId="0" borderId="99" xfId="0" applyFont="1" applyBorder="1" applyAlignment="1">
      <alignment vertical="center"/>
    </xf>
    <xf numFmtId="0" fontId="0" fillId="0" borderId="99" xfId="0" applyFont="1" applyBorder="1" applyAlignment="1">
      <alignment horizontal="center" vertical="center"/>
    </xf>
    <xf numFmtId="0" fontId="0" fillId="0" borderId="100" xfId="0" applyFont="1" applyBorder="1" applyAlignment="1">
      <alignment horizontal="left" vertical="center"/>
    </xf>
    <xf numFmtId="0" fontId="0" fillId="0" borderId="101" xfId="0" applyFont="1" applyBorder="1" applyAlignment="1">
      <alignment vertical="center"/>
    </xf>
    <xf numFmtId="0" fontId="0" fillId="0" borderId="102" xfId="0" applyFont="1" applyBorder="1" applyAlignment="1">
      <alignment vertical="center"/>
    </xf>
    <xf numFmtId="0" fontId="0" fillId="0" borderId="1" xfId="0" applyBorder="1" applyAlignment="1">
      <alignment vertical="center"/>
    </xf>
    <xf numFmtId="0" fontId="0" fillId="0" borderId="104" xfId="0" applyFont="1" applyBorder="1" applyAlignment="1">
      <alignment horizontal="center" vertical="center"/>
    </xf>
    <xf numFmtId="0" fontId="0" fillId="0" borderId="105" xfId="0" applyFont="1" applyBorder="1" applyAlignment="1">
      <alignment horizontal="left" vertical="center"/>
    </xf>
    <xf numFmtId="0" fontId="19" fillId="10" borderId="89" xfId="0" applyFont="1" applyFill="1" applyBorder="1" applyAlignment="1">
      <alignment horizontal="center" vertical="center"/>
    </xf>
    <xf numFmtId="0" fontId="0" fillId="0" borderId="0" xfId="0" applyFill="1" applyAlignment="1">
      <alignment vertical="center"/>
    </xf>
    <xf numFmtId="0" fontId="0" fillId="0" borderId="35" xfId="0" applyFill="1" applyBorder="1" applyAlignment="1">
      <alignment vertical="center"/>
    </xf>
    <xf numFmtId="0" fontId="0" fillId="0" borderId="18" xfId="0" applyFill="1" applyBorder="1" applyAlignment="1">
      <alignment horizontal="center" vertical="center"/>
    </xf>
    <xf numFmtId="0" fontId="0" fillId="0" borderId="73" xfId="0" applyFill="1" applyBorder="1" applyAlignment="1">
      <alignment vertical="center"/>
    </xf>
    <xf numFmtId="0" fontId="0" fillId="0" borderId="1" xfId="0" applyFill="1" applyBorder="1" applyAlignment="1">
      <alignment vertical="center"/>
    </xf>
    <xf numFmtId="0" fontId="29" fillId="13" borderId="18" xfId="0" quotePrefix="1" applyFont="1" applyFill="1" applyBorder="1" applyAlignment="1">
      <alignment vertical="center"/>
    </xf>
    <xf numFmtId="0" fontId="14" fillId="0" borderId="18" xfId="0" applyFont="1" applyFill="1" applyBorder="1" applyAlignment="1">
      <alignment vertical="center" wrapText="1"/>
    </xf>
    <xf numFmtId="0" fontId="0" fillId="0" borderId="18" xfId="0" quotePrefix="1" applyBorder="1" applyAlignment="1">
      <alignment vertical="center"/>
    </xf>
    <xf numFmtId="0" fontId="10" fillId="13" borderId="18" xfId="0" quotePrefix="1" applyFont="1" applyFill="1" applyBorder="1" applyAlignment="1">
      <alignment vertical="center"/>
    </xf>
    <xf numFmtId="0" fontId="24" fillId="13" borderId="18" xfId="0" quotePrefix="1" applyFont="1" applyFill="1" applyBorder="1" applyAlignment="1">
      <alignment vertical="center"/>
    </xf>
    <xf numFmtId="0" fontId="25" fillId="0" borderId="18" xfId="0" applyFont="1" applyFill="1" applyBorder="1" applyAlignment="1">
      <alignment vertical="center"/>
    </xf>
    <xf numFmtId="0" fontId="3" fillId="0" borderId="18" xfId="0" quotePrefix="1" applyFont="1" applyFill="1" applyBorder="1" applyAlignment="1">
      <alignment vertical="center"/>
    </xf>
    <xf numFmtId="0" fontId="25" fillId="0" borderId="35" xfId="0" applyFont="1" applyFill="1" applyBorder="1" applyAlignment="1">
      <alignment horizontal="left" vertical="center"/>
    </xf>
    <xf numFmtId="0" fontId="0" fillId="0" borderId="9" xfId="0" applyBorder="1" applyAlignment="1">
      <alignment horizontal="center" vertical="center"/>
    </xf>
    <xf numFmtId="0" fontId="28" fillId="0" borderId="1" xfId="0" applyFont="1" applyFill="1" applyBorder="1" applyAlignment="1">
      <alignment horizontal="center" vertical="center" wrapText="1"/>
    </xf>
    <xf numFmtId="164" fontId="0" fillId="0" borderId="0" xfId="0" applyNumberFormat="1" applyAlignment="1">
      <alignment vertical="center"/>
    </xf>
    <xf numFmtId="0" fontId="0" fillId="0" borderId="72" xfId="0" applyBorder="1" applyAlignment="1">
      <alignment vertical="center"/>
    </xf>
    <xf numFmtId="0" fontId="0" fillId="0" borderId="62" xfId="0" applyBorder="1" applyAlignment="1">
      <alignment vertical="center"/>
    </xf>
    <xf numFmtId="0" fontId="0" fillId="5" borderId="18" xfId="0" applyFill="1" applyBorder="1" applyAlignment="1">
      <alignment vertical="center"/>
    </xf>
    <xf numFmtId="0" fontId="14" fillId="5" borderId="18" xfId="0" quotePrefix="1" applyFont="1" applyFill="1" applyBorder="1" applyAlignment="1">
      <alignment vertical="center"/>
    </xf>
    <xf numFmtId="0" fontId="14" fillId="5" borderId="18" xfId="0" applyFont="1" applyFill="1" applyBorder="1" applyAlignment="1">
      <alignment vertical="center"/>
    </xf>
    <xf numFmtId="0" fontId="0" fillId="5" borderId="34" xfId="0" applyFill="1" applyBorder="1" applyAlignment="1">
      <alignment vertical="center"/>
    </xf>
    <xf numFmtId="0" fontId="14" fillId="5" borderId="34" xfId="0" applyFont="1" applyFill="1" applyBorder="1" applyAlignment="1">
      <alignment vertical="center"/>
    </xf>
    <xf numFmtId="0" fontId="14" fillId="5" borderId="34" xfId="0" quotePrefix="1" applyFont="1" applyFill="1" applyBorder="1" applyAlignment="1">
      <alignment vertical="center"/>
    </xf>
    <xf numFmtId="164" fontId="24" fillId="6" borderId="24" xfId="0" applyNumberFormat="1" applyFont="1" applyFill="1" applyBorder="1" applyAlignment="1">
      <alignment vertical="center"/>
    </xf>
    <xf numFmtId="164" fontId="24" fillId="6" borderId="25" xfId="0" applyNumberFormat="1" applyFont="1" applyFill="1" applyBorder="1" applyAlignment="1">
      <alignment vertical="center"/>
    </xf>
    <xf numFmtId="164" fontId="0" fillId="5" borderId="38" xfId="1" applyNumberFormat="1" applyFont="1" applyFill="1" applyBorder="1" applyAlignment="1">
      <alignment vertical="center"/>
    </xf>
    <xf numFmtId="0" fontId="14" fillId="0" borderId="49" xfId="0" applyFont="1" applyBorder="1" applyAlignment="1">
      <alignment vertical="center" wrapText="1"/>
    </xf>
    <xf numFmtId="0" fontId="14" fillId="0" borderId="34" xfId="0" applyFont="1" applyBorder="1" applyAlignment="1">
      <alignment vertical="center" wrapText="1"/>
    </xf>
    <xf numFmtId="0" fontId="14" fillId="0" borderId="34" xfId="0" applyFont="1" applyBorder="1" applyAlignment="1">
      <alignment vertical="center"/>
    </xf>
    <xf numFmtId="0" fontId="14" fillId="0" borderId="34" xfId="0" applyFont="1" applyFill="1" applyBorder="1" applyAlignment="1">
      <alignment vertical="center" wrapText="1"/>
    </xf>
    <xf numFmtId="0" fontId="0" fillId="0" borderId="34" xfId="0" applyFill="1" applyBorder="1" applyAlignment="1">
      <alignment vertical="center"/>
    </xf>
    <xf numFmtId="0" fontId="0" fillId="0" borderId="34" xfId="0" applyBorder="1" applyAlignment="1">
      <alignment vertical="center" wrapText="1"/>
    </xf>
    <xf numFmtId="0" fontId="3" fillId="0" borderId="34" xfId="0" applyFont="1" applyFill="1" applyBorder="1" applyAlignment="1">
      <alignment vertical="center" wrapText="1"/>
    </xf>
    <xf numFmtId="0" fontId="12" fillId="10" borderId="89" xfId="0" applyFont="1" applyFill="1" applyBorder="1" applyAlignment="1">
      <alignment horizontal="center" vertical="center" wrapText="1"/>
    </xf>
    <xf numFmtId="164" fontId="26" fillId="12" borderId="19" xfId="1" applyNumberFormat="1" applyFont="1" applyFill="1" applyBorder="1" applyAlignment="1">
      <alignment vertical="center"/>
    </xf>
    <xf numFmtId="164" fontId="26" fillId="12" borderId="22" xfId="1" applyNumberFormat="1" applyFont="1" applyFill="1" applyBorder="1" applyAlignment="1">
      <alignment vertical="center"/>
    </xf>
    <xf numFmtId="164" fontId="3" fillId="5" borderId="22" xfId="1" applyNumberFormat="1" applyFont="1" applyFill="1" applyBorder="1" applyAlignment="1">
      <alignment vertical="center"/>
    </xf>
    <xf numFmtId="164" fontId="0" fillId="14" borderId="22" xfId="1" applyNumberFormat="1" applyFont="1" applyFill="1" applyBorder="1" applyAlignment="1">
      <alignment vertical="center"/>
    </xf>
    <xf numFmtId="164" fontId="1" fillId="0" borderId="45" xfId="1" applyNumberFormat="1" applyFont="1" applyBorder="1" applyAlignment="1">
      <alignment horizontal="center" vertical="center"/>
    </xf>
    <xf numFmtId="164" fontId="0" fillId="14" borderId="60" xfId="1" applyNumberFormat="1" applyFont="1" applyFill="1" applyBorder="1" applyAlignment="1">
      <alignment vertical="center"/>
    </xf>
    <xf numFmtId="164" fontId="0" fillId="14" borderId="35" xfId="1" applyNumberFormat="1" applyFont="1" applyFill="1" applyBorder="1" applyAlignment="1">
      <alignment vertical="center"/>
    </xf>
    <xf numFmtId="164" fontId="3" fillId="14" borderId="35" xfId="1" applyNumberFormat="1" applyFont="1" applyFill="1" applyBorder="1" applyAlignment="1">
      <alignment vertical="center"/>
    </xf>
    <xf numFmtId="164" fontId="0" fillId="14" borderId="66" xfId="1" applyNumberFormat="1" applyFont="1" applyFill="1" applyBorder="1" applyAlignment="1">
      <alignment vertical="center"/>
    </xf>
    <xf numFmtId="164" fontId="0" fillId="14" borderId="72" xfId="1" applyNumberFormat="1" applyFont="1" applyFill="1" applyBorder="1" applyAlignment="1">
      <alignment vertical="center"/>
    </xf>
    <xf numFmtId="164" fontId="0" fillId="16" borderId="35" xfId="1" applyNumberFormat="1" applyFont="1" applyFill="1" applyBorder="1" applyAlignment="1">
      <alignment vertical="center"/>
    </xf>
    <xf numFmtId="164" fontId="0" fillId="11" borderId="72" xfId="1" applyNumberFormat="1" applyFont="1" applyFill="1" applyBorder="1" applyAlignment="1">
      <alignment vertical="center"/>
    </xf>
    <xf numFmtId="164" fontId="1" fillId="0" borderId="18" xfId="1" applyNumberFormat="1" applyFont="1" applyBorder="1" applyAlignment="1">
      <alignment horizontal="center" vertical="center"/>
    </xf>
    <xf numFmtId="164" fontId="3" fillId="0" borderId="18" xfId="1" applyNumberFormat="1" applyFont="1" applyBorder="1" applyAlignment="1">
      <alignment horizontal="center" vertical="center"/>
    </xf>
    <xf numFmtId="164" fontId="1" fillId="11" borderId="18" xfId="1" applyNumberFormat="1" applyFont="1" applyFill="1" applyBorder="1" applyAlignment="1">
      <alignment horizontal="center" vertical="center"/>
    </xf>
    <xf numFmtId="164" fontId="1" fillId="16" borderId="18" xfId="1" applyNumberFormat="1" applyFont="1" applyFill="1" applyBorder="1" applyAlignment="1">
      <alignment horizontal="center" vertical="center"/>
    </xf>
    <xf numFmtId="0" fontId="3" fillId="0" borderId="18" xfId="0" applyFont="1" applyFill="1" applyBorder="1" applyAlignment="1">
      <alignment horizontal="center" vertical="center"/>
    </xf>
    <xf numFmtId="0" fontId="0" fillId="11" borderId="70" xfId="0" applyFont="1" applyFill="1" applyBorder="1" applyAlignment="1">
      <alignment horizontal="center" vertical="center"/>
    </xf>
    <xf numFmtId="0" fontId="10" fillId="0" borderId="6" xfId="0" applyFont="1" applyBorder="1" applyAlignment="1">
      <alignment horizontal="left" vertical="center" wrapText="1"/>
    </xf>
    <xf numFmtId="0" fontId="0" fillId="0" borderId="1" xfId="0" applyBorder="1" applyAlignment="1">
      <alignment vertical="center"/>
    </xf>
    <xf numFmtId="0" fontId="3" fillId="0" borderId="18" xfId="0" applyFont="1" applyBorder="1" applyAlignment="1">
      <alignment vertical="center"/>
    </xf>
    <xf numFmtId="0" fontId="0" fillId="0" borderId="18" xfId="0" applyBorder="1" applyAlignment="1">
      <alignment vertical="center"/>
    </xf>
    <xf numFmtId="0" fontId="38" fillId="0" borderId="20" xfId="0" applyFont="1" applyBorder="1" applyAlignment="1">
      <alignment horizontal="center" vertical="center"/>
    </xf>
    <xf numFmtId="0" fontId="0" fillId="0" borderId="18" xfId="0" applyBorder="1" applyAlignment="1">
      <alignment horizontal="center" vertical="center"/>
    </xf>
    <xf numFmtId="164" fontId="49" fillId="14" borderId="73" xfId="1" applyNumberFormat="1" applyFont="1" applyFill="1" applyBorder="1" applyAlignment="1">
      <alignment vertical="center"/>
    </xf>
    <xf numFmtId="164" fontId="49" fillId="14" borderId="35" xfId="1" applyNumberFormat="1" applyFont="1" applyFill="1" applyBorder="1" applyAlignment="1">
      <alignment vertical="center"/>
    </xf>
    <xf numFmtId="164" fontId="49" fillId="14" borderId="22" xfId="1" applyNumberFormat="1" applyFont="1" applyFill="1" applyBorder="1" applyAlignment="1">
      <alignment vertical="center"/>
    </xf>
    <xf numFmtId="164" fontId="0" fillId="14" borderId="20" xfId="1" applyNumberFormat="1" applyFont="1" applyFill="1" applyBorder="1" applyAlignment="1">
      <alignment vertical="center"/>
    </xf>
    <xf numFmtId="164" fontId="0" fillId="14" borderId="21" xfId="1" applyNumberFormat="1" applyFont="1" applyFill="1" applyBorder="1" applyAlignment="1">
      <alignment vertical="center"/>
    </xf>
    <xf numFmtId="164" fontId="0" fillId="0" borderId="23" xfId="1" applyNumberFormat="1" applyFont="1" applyFill="1" applyBorder="1" applyAlignment="1">
      <alignment vertical="center"/>
    </xf>
    <xf numFmtId="164" fontId="0" fillId="11" borderId="26" xfId="1" applyNumberFormat="1" applyFont="1" applyFill="1" applyBorder="1" applyAlignment="1">
      <alignment vertical="center"/>
    </xf>
    <xf numFmtId="164" fontId="0" fillId="14" borderId="50" xfId="1" applyNumberFormat="1" applyFont="1" applyFill="1" applyBorder="1" applyAlignment="1">
      <alignment vertical="center"/>
    </xf>
    <xf numFmtId="164" fontId="0" fillId="11" borderId="31" xfId="1" applyNumberFormat="1" applyFont="1" applyFill="1" applyBorder="1" applyAlignment="1">
      <alignment vertical="center"/>
    </xf>
    <xf numFmtId="164" fontId="0" fillId="11" borderId="39" xfId="1" applyNumberFormat="1" applyFont="1" applyFill="1" applyBorder="1" applyAlignment="1">
      <alignment vertical="center"/>
    </xf>
    <xf numFmtId="164" fontId="0" fillId="0" borderId="23" xfId="1" applyNumberFormat="1" applyFont="1" applyBorder="1" applyAlignment="1">
      <alignment vertical="center"/>
    </xf>
    <xf numFmtId="164" fontId="0" fillId="0" borderId="26" xfId="1" applyNumberFormat="1" applyFont="1" applyBorder="1" applyAlignment="1">
      <alignment vertical="center"/>
    </xf>
    <xf numFmtId="164" fontId="0" fillId="11" borderId="62" xfId="1" applyNumberFormat="1" applyFont="1" applyFill="1" applyBorder="1" applyAlignment="1">
      <alignment vertical="center"/>
    </xf>
    <xf numFmtId="164" fontId="0" fillId="11" borderId="92" xfId="1" applyNumberFormat="1" applyFont="1" applyFill="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38" fillId="14" borderId="49" xfId="0" applyFont="1" applyFill="1" applyBorder="1" applyAlignment="1">
      <alignment vertical="center"/>
    </xf>
    <xf numFmtId="0" fontId="38" fillId="14" borderId="51" xfId="0" applyFont="1" applyFill="1" applyBorder="1" applyAlignment="1">
      <alignment vertical="center"/>
    </xf>
    <xf numFmtId="164" fontId="38" fillId="5" borderId="60" xfId="1" applyNumberFormat="1" applyFont="1" applyFill="1" applyBorder="1" applyAlignment="1">
      <alignment vertical="center" wrapText="1"/>
    </xf>
    <xf numFmtId="164" fontId="38" fillId="5" borderId="66" xfId="1" applyNumberFormat="1" applyFont="1" applyFill="1" applyBorder="1" applyAlignment="1">
      <alignment vertical="center" wrapText="1"/>
    </xf>
    <xf numFmtId="0" fontId="38" fillId="14" borderId="55" xfId="0" applyFont="1" applyFill="1" applyBorder="1" applyAlignment="1">
      <alignment vertical="center"/>
    </xf>
    <xf numFmtId="0" fontId="38" fillId="14" borderId="57" xfId="0" applyFont="1" applyFill="1" applyBorder="1" applyAlignment="1">
      <alignment vertical="center"/>
    </xf>
    <xf numFmtId="164" fontId="38" fillId="5" borderId="60" xfId="1" applyNumberFormat="1" applyFont="1" applyFill="1" applyBorder="1" applyAlignment="1">
      <alignment vertical="center"/>
    </xf>
    <xf numFmtId="164" fontId="38" fillId="5" borderId="66" xfId="1" applyNumberFormat="1" applyFont="1" applyFill="1" applyBorder="1" applyAlignment="1">
      <alignment vertical="center"/>
    </xf>
    <xf numFmtId="164" fontId="38" fillId="14" borderId="55" xfId="1" applyNumberFormat="1" applyFont="1" applyFill="1" applyBorder="1" applyAlignment="1">
      <alignment vertical="center"/>
    </xf>
    <xf numFmtId="164" fontId="38" fillId="14" borderId="57" xfId="1" applyNumberFormat="1" applyFont="1" applyFill="1" applyBorder="1" applyAlignment="1">
      <alignment vertical="center"/>
    </xf>
    <xf numFmtId="0" fontId="14" fillId="0" borderId="35" xfId="0" applyFont="1" applyBorder="1" applyAlignment="1">
      <alignment vertical="center"/>
    </xf>
    <xf numFmtId="0" fontId="14" fillId="0" borderId="18" xfId="2" applyFont="1" applyBorder="1" applyAlignment="1">
      <alignment vertical="center"/>
    </xf>
    <xf numFmtId="0" fontId="14" fillId="0" borderId="18" xfId="2" applyFont="1" applyBorder="1" applyAlignment="1">
      <alignment horizontal="center" vertical="center"/>
    </xf>
    <xf numFmtId="164" fontId="14" fillId="0" borderId="18" xfId="8" applyNumberFormat="1" applyFont="1" applyBorder="1" applyAlignment="1">
      <alignment horizontal="center" vertical="center"/>
    </xf>
    <xf numFmtId="0" fontId="14" fillId="0" borderId="18" xfId="2" applyBorder="1" applyAlignment="1">
      <alignment vertical="center"/>
    </xf>
    <xf numFmtId="164" fontId="14" fillId="0" borderId="18" xfId="8" applyNumberFormat="1" applyFont="1" applyBorder="1" applyAlignment="1">
      <alignment horizontal="center" vertical="center"/>
    </xf>
    <xf numFmtId="0" fontId="14" fillId="0" borderId="18" xfId="2"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14" fillId="0" borderId="18" xfId="0" applyFont="1" applyBorder="1" applyAlignment="1">
      <alignment horizontal="center" vertical="center"/>
    </xf>
    <xf numFmtId="0" fontId="0" fillId="0" borderId="18" xfId="0" applyBorder="1" applyAlignment="1">
      <alignment horizontal="center" vertical="center"/>
    </xf>
    <xf numFmtId="0" fontId="0" fillId="0" borderId="9" xfId="0" applyBorder="1" applyAlignment="1">
      <alignment vertical="center"/>
    </xf>
    <xf numFmtId="0" fontId="0" fillId="0" borderId="1" xfId="0" applyBorder="1" applyAlignment="1">
      <alignment vertical="center"/>
    </xf>
    <xf numFmtId="0" fontId="5" fillId="11" borderId="18" xfId="0" applyFont="1" applyFill="1" applyBorder="1" applyAlignment="1">
      <alignment horizontal="center" vertical="center" wrapText="1"/>
    </xf>
    <xf numFmtId="164" fontId="64" fillId="14" borderId="18" xfId="1" applyNumberFormat="1" applyFont="1" applyFill="1" applyBorder="1" applyAlignment="1">
      <alignment vertical="center"/>
    </xf>
    <xf numFmtId="164" fontId="64" fillId="14" borderId="22" xfId="1" applyNumberFormat="1" applyFont="1" applyFill="1"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14" fillId="0" borderId="42" xfId="0" applyFont="1" applyBorder="1" applyAlignment="1">
      <alignment vertical="center" wrapText="1"/>
    </xf>
    <xf numFmtId="164" fontId="27" fillId="0" borderId="61" xfId="1" applyNumberFormat="1" applyFont="1" applyBorder="1" applyAlignment="1">
      <alignment vertical="center"/>
    </xf>
    <xf numFmtId="164" fontId="27" fillId="0" borderId="62" xfId="1" applyNumberFormat="1" applyFont="1" applyBorder="1" applyAlignment="1">
      <alignment vertical="center"/>
    </xf>
    <xf numFmtId="0" fontId="12" fillId="0" borderId="107" xfId="0" applyFont="1" applyBorder="1" applyAlignment="1">
      <alignment horizontal="center" vertical="center"/>
    </xf>
    <xf numFmtId="0" fontId="14" fillId="0" borderId="46" xfId="0" applyFont="1" applyBorder="1" applyAlignment="1">
      <alignment horizontal="left" vertical="center" wrapText="1"/>
    </xf>
    <xf numFmtId="0" fontId="14" fillId="0" borderId="51" xfId="0" applyFont="1" applyBorder="1" applyAlignment="1">
      <alignment vertical="center"/>
    </xf>
    <xf numFmtId="0" fontId="0" fillId="0" borderId="46" xfId="0" applyBorder="1" applyAlignment="1">
      <alignment vertical="center"/>
    </xf>
    <xf numFmtId="0" fontId="14" fillId="0" borderId="46" xfId="0" applyFont="1" applyBorder="1" applyAlignment="1">
      <alignment vertical="center"/>
    </xf>
    <xf numFmtId="0" fontId="11" fillId="11" borderId="27" xfId="0" applyFont="1" applyFill="1" applyBorder="1" applyAlignment="1">
      <alignment horizontal="center" vertical="center"/>
    </xf>
    <xf numFmtId="0" fontId="11" fillId="11" borderId="107" xfId="0" applyFont="1" applyFill="1" applyBorder="1" applyAlignment="1">
      <alignment horizontal="center" vertical="center"/>
    </xf>
    <xf numFmtId="0" fontId="3" fillId="0" borderId="71" xfId="0" applyFont="1" applyFill="1" applyBorder="1" applyAlignment="1">
      <alignment horizontal="left" vertical="center" wrapText="1"/>
    </xf>
    <xf numFmtId="0" fontId="0" fillId="0" borderId="71" xfId="0" applyFill="1" applyBorder="1" applyAlignment="1">
      <alignment horizontal="center" vertical="center"/>
    </xf>
    <xf numFmtId="0" fontId="0" fillId="0" borderId="71" xfId="0" applyFill="1" applyBorder="1" applyAlignment="1">
      <alignment vertical="center"/>
    </xf>
    <xf numFmtId="0" fontId="0" fillId="0" borderId="62" xfId="0" applyFill="1" applyBorder="1" applyAlignment="1">
      <alignment vertical="center"/>
    </xf>
    <xf numFmtId="164" fontId="24" fillId="6" borderId="18" xfId="1" applyNumberFormat="1" applyFont="1" applyFill="1" applyBorder="1" applyAlignment="1">
      <alignment horizontal="center" vertical="center"/>
    </xf>
    <xf numFmtId="9" fontId="0" fillId="5" borderId="23" xfId="3" applyFont="1" applyFill="1" applyBorder="1" applyAlignment="1">
      <alignment horizontal="center" vertical="center"/>
    </xf>
    <xf numFmtId="9" fontId="24" fillId="6" borderId="23" xfId="3" applyFont="1" applyFill="1" applyBorder="1" applyAlignment="1">
      <alignment horizontal="center" vertical="center"/>
    </xf>
    <xf numFmtId="164" fontId="24" fillId="6" borderId="25" xfId="1" applyNumberFormat="1" applyFont="1" applyFill="1" applyBorder="1" applyAlignment="1">
      <alignment horizontal="center" vertical="center"/>
    </xf>
    <xf numFmtId="0" fontId="11" fillId="11" borderId="61" xfId="0" applyFont="1" applyFill="1" applyBorder="1" applyAlignment="1">
      <alignment horizontal="center" vertical="center"/>
    </xf>
    <xf numFmtId="0" fontId="11" fillId="11" borderId="62" xfId="0" applyFont="1" applyFill="1" applyBorder="1" applyAlignment="1">
      <alignment horizontal="center" vertical="center"/>
    </xf>
    <xf numFmtId="0" fontId="11" fillId="11" borderId="62" xfId="0" applyFont="1" applyFill="1" applyBorder="1" applyAlignment="1">
      <alignment horizontal="center" vertical="center" wrapText="1"/>
    </xf>
    <xf numFmtId="9" fontId="26" fillId="12" borderId="21" xfId="3" applyFont="1" applyFill="1" applyBorder="1" applyAlignment="1">
      <alignment horizontal="center" vertical="center"/>
    </xf>
    <xf numFmtId="9" fontId="64" fillId="14" borderId="23" xfId="3" applyFont="1" applyFill="1" applyBorder="1" applyAlignment="1">
      <alignment horizontal="center" vertical="center"/>
    </xf>
    <xf numFmtId="9" fontId="26" fillId="12" borderId="23" xfId="3" applyFont="1" applyFill="1" applyBorder="1" applyAlignment="1">
      <alignment horizontal="center" vertical="center"/>
    </xf>
    <xf numFmtId="9" fontId="0" fillId="5" borderId="39" xfId="3" applyFont="1" applyFill="1" applyBorder="1" applyAlignment="1">
      <alignment horizontal="center" vertical="center"/>
    </xf>
    <xf numFmtId="9" fontId="27" fillId="0" borderId="92" xfId="3" applyFont="1" applyBorder="1" applyAlignment="1">
      <alignment horizontal="center" vertical="center"/>
    </xf>
    <xf numFmtId="0" fontId="0" fillId="0" borderId="18" xfId="0" applyBorder="1" applyAlignment="1">
      <alignment vertical="center"/>
    </xf>
    <xf numFmtId="0" fontId="14" fillId="0" borderId="82" xfId="0" applyFont="1" applyBorder="1" applyAlignment="1">
      <alignment vertical="center"/>
    </xf>
    <xf numFmtId="0" fontId="14" fillId="0" borderId="18" xfId="2" applyFont="1" applyBorder="1" applyAlignment="1">
      <alignment vertical="center"/>
    </xf>
    <xf numFmtId="0" fontId="0" fillId="0" borderId="1" xfId="0" applyBorder="1" applyAlignment="1">
      <alignment vertical="center"/>
    </xf>
    <xf numFmtId="0" fontId="0" fillId="0" borderId="1" xfId="0" applyBorder="1" applyAlignment="1">
      <alignment vertical="center"/>
    </xf>
    <xf numFmtId="0" fontId="0" fillId="0" borderId="47" xfId="0" applyBorder="1" applyAlignment="1"/>
    <xf numFmtId="0" fontId="0" fillId="0" borderId="1" xfId="0" applyBorder="1" applyAlignment="1"/>
    <xf numFmtId="0" fontId="14" fillId="0" borderId="1" xfId="0" quotePrefix="1" applyFont="1" applyBorder="1" applyAlignment="1">
      <alignment vertical="center"/>
    </xf>
    <xf numFmtId="164" fontId="0" fillId="5" borderId="109" xfId="1" applyNumberFormat="1" applyFont="1" applyFill="1" applyBorder="1" applyAlignment="1">
      <alignment horizontal="center" vertical="center"/>
    </xf>
    <xf numFmtId="164" fontId="0" fillId="0" borderId="109" xfId="1" applyNumberFormat="1" applyFont="1" applyBorder="1" applyAlignment="1">
      <alignment horizontal="center" vertical="center"/>
    </xf>
    <xf numFmtId="164" fontId="0" fillId="0" borderId="109" xfId="1" applyNumberFormat="1" applyFont="1" applyFill="1" applyBorder="1" applyAlignment="1">
      <alignment horizontal="center" vertical="center"/>
    </xf>
    <xf numFmtId="164" fontId="18" fillId="6" borderId="109" xfId="1" applyNumberFormat="1" applyFont="1" applyFill="1" applyBorder="1" applyAlignment="1">
      <alignment horizontal="center" vertical="center"/>
    </xf>
    <xf numFmtId="164" fontId="15" fillId="5" borderId="109" xfId="1" applyNumberFormat="1" applyFont="1" applyFill="1" applyBorder="1" applyAlignment="1">
      <alignment horizontal="center" vertical="center"/>
    </xf>
    <xf numFmtId="164" fontId="18" fillId="6" borderId="110" xfId="1" applyNumberFormat="1" applyFont="1" applyFill="1" applyBorder="1" applyAlignment="1">
      <alignment horizontal="center" vertical="center"/>
    </xf>
    <xf numFmtId="0" fontId="0" fillId="0" borderId="111" xfId="0" applyFont="1" applyBorder="1" applyAlignment="1">
      <alignment vertical="center"/>
    </xf>
    <xf numFmtId="0" fontId="0" fillId="0" borderId="25" xfId="0" applyFont="1" applyFill="1" applyBorder="1" applyAlignment="1">
      <alignment vertical="center"/>
    </xf>
    <xf numFmtId="0" fontId="0" fillId="0" borderId="112" xfId="0" applyFont="1" applyBorder="1" applyAlignment="1">
      <alignment horizontal="center" vertical="center"/>
    </xf>
    <xf numFmtId="0" fontId="0" fillId="0" borderId="5" xfId="0" applyFont="1" applyBorder="1" applyAlignment="1">
      <alignment vertical="center"/>
    </xf>
    <xf numFmtId="0" fontId="0" fillId="0" borderId="5" xfId="0" applyFont="1" applyBorder="1" applyAlignment="1">
      <alignment vertical="center" wrapText="1"/>
    </xf>
    <xf numFmtId="0" fontId="0" fillId="0" borderId="35" xfId="0" applyFont="1" applyBorder="1" applyAlignment="1">
      <alignment vertical="center" wrapText="1"/>
    </xf>
    <xf numFmtId="0" fontId="0" fillId="0" borderId="113" xfId="0" applyFont="1" applyBorder="1" applyAlignment="1">
      <alignment vertical="center"/>
    </xf>
    <xf numFmtId="0" fontId="14" fillId="0" borderId="103" xfId="0" applyFont="1" applyBorder="1" applyAlignment="1">
      <alignment vertical="center"/>
    </xf>
    <xf numFmtId="0" fontId="0" fillId="0" borderId="116" xfId="0" applyFont="1" applyBorder="1" applyAlignment="1">
      <alignment vertical="center"/>
    </xf>
    <xf numFmtId="0" fontId="14" fillId="0" borderId="119" xfId="0" quotePrefix="1" applyFont="1" applyBorder="1" applyAlignment="1">
      <alignment vertical="center"/>
    </xf>
    <xf numFmtId="0" fontId="0" fillId="0" borderId="120" xfId="0" applyFont="1" applyBorder="1" applyAlignment="1">
      <alignment vertical="center"/>
    </xf>
    <xf numFmtId="0" fontId="0" fillId="0" borderId="121" xfId="0" applyFont="1" applyBorder="1" applyAlignment="1">
      <alignment vertical="center"/>
    </xf>
    <xf numFmtId="0" fontId="0" fillId="0" borderId="117" xfId="0" applyFont="1" applyBorder="1" applyAlignment="1">
      <alignment vertical="center"/>
    </xf>
    <xf numFmtId="0" fontId="0" fillId="0" borderId="118" xfId="0" applyFont="1" applyBorder="1" applyAlignment="1">
      <alignment vertical="center"/>
    </xf>
    <xf numFmtId="0" fontId="6" fillId="0" borderId="116" xfId="0" applyFont="1" applyBorder="1" applyAlignment="1">
      <alignment horizontal="left" vertical="center"/>
    </xf>
    <xf numFmtId="0" fontId="8" fillId="0" borderId="102" xfId="0" applyFont="1" applyBorder="1" applyAlignment="1">
      <alignment vertical="center"/>
    </xf>
    <xf numFmtId="0" fontId="9" fillId="0" borderId="102" xfId="0" applyFont="1" applyBorder="1" applyAlignment="1">
      <alignment vertical="center"/>
    </xf>
    <xf numFmtId="0" fontId="0" fillId="0" borderId="102" xfId="0" applyFont="1" applyBorder="1" applyAlignment="1">
      <alignment vertical="center" wrapText="1"/>
    </xf>
    <xf numFmtId="0" fontId="0" fillId="0" borderId="98" xfId="0" applyFont="1" applyBorder="1" applyAlignment="1">
      <alignment vertical="center"/>
    </xf>
    <xf numFmtId="0" fontId="3" fillId="2" borderId="97" xfId="0" applyFont="1" applyFill="1" applyBorder="1" applyAlignment="1">
      <alignment horizontal="center" vertical="center"/>
    </xf>
    <xf numFmtId="0" fontId="0" fillId="0" borderId="17" xfId="0" applyBorder="1" applyAlignment="1"/>
    <xf numFmtId="0" fontId="0" fillId="0" borderId="91" xfId="0" applyBorder="1" applyAlignment="1"/>
    <xf numFmtId="164" fontId="0" fillId="5" borderId="126" xfId="1" applyNumberFormat="1" applyFont="1" applyFill="1" applyBorder="1" applyAlignment="1">
      <alignment horizontal="center" vertical="center"/>
    </xf>
    <xf numFmtId="0" fontId="0" fillId="0" borderId="115" xfId="0" applyFont="1" applyBorder="1" applyAlignment="1">
      <alignment vertical="center"/>
    </xf>
    <xf numFmtId="0" fontId="0" fillId="0" borderId="127" xfId="0" applyFont="1" applyBorder="1" applyAlignment="1">
      <alignment vertical="center"/>
    </xf>
    <xf numFmtId="0" fontId="7" fillId="0" borderId="114" xfId="0" applyFont="1" applyBorder="1" applyAlignment="1">
      <alignment horizontal="center" vertical="center"/>
    </xf>
    <xf numFmtId="0" fontId="0" fillId="0" borderId="30" xfId="0" applyFont="1" applyBorder="1" applyAlignment="1">
      <alignment horizontal="left" vertical="center"/>
    </xf>
    <xf numFmtId="164" fontId="18" fillId="6" borderId="108" xfId="1" applyNumberFormat="1" applyFont="1" applyFill="1" applyBorder="1" applyAlignment="1">
      <alignment horizontal="center" vertical="center"/>
    </xf>
    <xf numFmtId="0" fontId="0" fillId="0" borderId="50" xfId="0" applyFont="1" applyBorder="1" applyAlignment="1">
      <alignment vertical="center"/>
    </xf>
    <xf numFmtId="0" fontId="0" fillId="0" borderId="129" xfId="0" applyFont="1" applyBorder="1" applyAlignment="1">
      <alignment vertical="center"/>
    </xf>
    <xf numFmtId="0" fontId="0" fillId="0" borderId="116" xfId="0" quotePrefix="1" applyFont="1" applyBorder="1" applyAlignment="1">
      <alignment vertical="center"/>
    </xf>
    <xf numFmtId="0" fontId="0" fillId="0" borderId="122" xfId="0" quotePrefix="1" applyFont="1" applyBorder="1" applyAlignment="1">
      <alignment vertical="center"/>
    </xf>
    <xf numFmtId="0" fontId="0" fillId="0" borderId="104" xfId="0" applyFont="1" applyBorder="1" applyAlignment="1">
      <alignment vertical="center"/>
    </xf>
    <xf numFmtId="0" fontId="0" fillId="0" borderId="106" xfId="0" applyFont="1" applyBorder="1" applyAlignment="1">
      <alignment vertical="center"/>
    </xf>
    <xf numFmtId="0" fontId="0" fillId="0" borderId="103" xfId="0" applyFont="1" applyBorder="1" applyAlignment="1">
      <alignment vertical="center" wrapText="1"/>
    </xf>
    <xf numFmtId="0" fontId="0" fillId="0" borderId="104" xfId="0" applyFont="1" applyBorder="1" applyAlignment="1">
      <alignment horizontal="center" vertical="center" wrapText="1"/>
    </xf>
    <xf numFmtId="164" fontId="0" fillId="5" borderId="110" xfId="1" applyNumberFormat="1" applyFont="1" applyFill="1" applyBorder="1" applyAlignment="1">
      <alignment horizontal="center" vertical="center"/>
    </xf>
    <xf numFmtId="0" fontId="0" fillId="0" borderId="124" xfId="0" applyFont="1" applyBorder="1" applyAlignment="1">
      <alignment vertical="center"/>
    </xf>
    <xf numFmtId="164" fontId="0" fillId="0" borderId="18" xfId="0" applyNumberFormat="1" applyFont="1" applyFill="1" applyBorder="1" applyAlignment="1">
      <alignment vertical="center"/>
    </xf>
    <xf numFmtId="164" fontId="0" fillId="0" borderId="18" xfId="0" applyNumberFormat="1" applyFont="1" applyBorder="1" applyAlignment="1">
      <alignment vertical="center"/>
    </xf>
    <xf numFmtId="0" fontId="0" fillId="0" borderId="20" xfId="0" applyFont="1" applyFill="1" applyBorder="1" applyAlignment="1">
      <alignment vertical="center"/>
    </xf>
    <xf numFmtId="164" fontId="0" fillId="0" borderId="130" xfId="1" applyNumberFormat="1" applyFont="1" applyBorder="1" applyAlignment="1">
      <alignment horizontal="center" vertical="center"/>
    </xf>
    <xf numFmtId="164" fontId="0" fillId="0" borderId="1" xfId="1" applyNumberFormat="1" applyFont="1" applyBorder="1" applyAlignment="1">
      <alignment vertical="center"/>
    </xf>
    <xf numFmtId="0" fontId="7" fillId="0" borderId="98" xfId="0" applyFont="1" applyBorder="1" applyAlignment="1">
      <alignment horizontal="center" vertical="center" wrapText="1"/>
    </xf>
    <xf numFmtId="0" fontId="6" fillId="0" borderId="99" xfId="0" applyFont="1" applyBorder="1" applyAlignment="1">
      <alignment vertical="center"/>
    </xf>
    <xf numFmtId="0" fontId="0" fillId="0" borderId="100" xfId="0" applyFont="1" applyBorder="1" applyAlignment="1">
      <alignment vertical="center"/>
    </xf>
    <xf numFmtId="164" fontId="0" fillId="0" borderId="126" xfId="1" applyNumberFormat="1" applyFont="1" applyBorder="1" applyAlignment="1">
      <alignment horizontal="center" vertical="center"/>
    </xf>
    <xf numFmtId="0" fontId="0" fillId="0" borderId="103" xfId="0" applyFont="1" applyBorder="1" applyAlignment="1">
      <alignment horizontal="center" vertical="center"/>
    </xf>
    <xf numFmtId="0" fontId="13" fillId="0" borderId="104" xfId="0" applyFont="1" applyBorder="1" applyAlignment="1">
      <alignment vertical="center"/>
    </xf>
    <xf numFmtId="0" fontId="0" fillId="0" borderId="105" xfId="0" applyFont="1" applyBorder="1" applyAlignment="1">
      <alignment vertical="center"/>
    </xf>
    <xf numFmtId="0" fontId="0" fillId="0" borderId="31" xfId="0" applyFont="1" applyFill="1" applyBorder="1" applyAlignment="1">
      <alignment vertical="center"/>
    </xf>
    <xf numFmtId="0" fontId="0" fillId="0" borderId="33" xfId="0" applyFont="1" applyFill="1" applyBorder="1" applyAlignment="1">
      <alignment vertical="center"/>
    </xf>
    <xf numFmtId="0" fontId="0" fillId="0" borderId="61" xfId="0" applyBorder="1" applyAlignment="1">
      <alignment vertical="center"/>
    </xf>
    <xf numFmtId="0" fontId="14" fillId="0" borderId="62" xfId="0" applyFont="1" applyFill="1" applyBorder="1" applyAlignment="1">
      <alignment vertical="center"/>
    </xf>
    <xf numFmtId="0" fontId="0" fillId="0" borderId="92" xfId="0" applyFont="1" applyBorder="1" applyAlignment="1">
      <alignment vertical="center"/>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131" xfId="0" applyFont="1" applyFill="1" applyBorder="1" applyAlignment="1">
      <alignment horizontal="center" vertical="center"/>
    </xf>
    <xf numFmtId="0" fontId="0" fillId="0" borderId="51" xfId="0" applyFont="1" applyBorder="1" applyAlignment="1">
      <alignment vertical="center"/>
    </xf>
    <xf numFmtId="164" fontId="0" fillId="0" borderId="31" xfId="1" applyNumberFormat="1" applyFont="1" applyBorder="1" applyAlignment="1">
      <alignment horizontal="center" vertical="center"/>
    </xf>
    <xf numFmtId="164" fontId="18" fillId="6" borderId="55" xfId="1" applyNumberFormat="1" applyFont="1" applyFill="1" applyBorder="1" applyAlignment="1">
      <alignment horizontal="center" vertical="center"/>
    </xf>
    <xf numFmtId="164" fontId="0" fillId="5" borderId="56" xfId="1" applyNumberFormat="1" applyFont="1" applyFill="1" applyBorder="1" applyAlignment="1">
      <alignment horizontal="center" vertical="center"/>
    </xf>
    <xf numFmtId="164" fontId="0" fillId="0" borderId="56" xfId="1" applyNumberFormat="1" applyFont="1" applyBorder="1" applyAlignment="1">
      <alignment horizontal="center" vertical="center"/>
    </xf>
    <xf numFmtId="164" fontId="18" fillId="6" borderId="56" xfId="1" applyNumberFormat="1" applyFont="1" applyFill="1" applyBorder="1" applyAlignment="1">
      <alignment horizontal="center" vertical="center"/>
    </xf>
    <xf numFmtId="164" fontId="18" fillId="6" borderId="57" xfId="1" applyNumberFormat="1" applyFont="1" applyFill="1" applyBorder="1" applyAlignment="1">
      <alignment horizontal="center" vertical="center"/>
    </xf>
    <xf numFmtId="164" fontId="18" fillId="6" borderId="107" xfId="1" applyNumberFormat="1" applyFont="1" applyFill="1" applyBorder="1" applyAlignment="1">
      <alignment horizontal="center" vertical="center"/>
    </xf>
    <xf numFmtId="164" fontId="0" fillId="5" borderId="15" xfId="1" applyNumberFormat="1" applyFont="1" applyFill="1" applyBorder="1" applyAlignment="1">
      <alignment horizontal="center" vertical="center"/>
    </xf>
    <xf numFmtId="164" fontId="0" fillId="5" borderId="132" xfId="1" applyNumberFormat="1" applyFont="1" applyFill="1" applyBorder="1" applyAlignment="1">
      <alignment horizontal="center" vertical="center"/>
    </xf>
    <xf numFmtId="164" fontId="0" fillId="0" borderId="132" xfId="1" applyNumberFormat="1" applyFont="1" applyBorder="1" applyAlignment="1">
      <alignment horizontal="center" vertical="center"/>
    </xf>
    <xf numFmtId="164" fontId="0" fillId="0" borderId="132" xfId="1" applyNumberFormat="1" applyFont="1" applyFill="1" applyBorder="1" applyAlignment="1">
      <alignment horizontal="center" vertical="center"/>
    </xf>
    <xf numFmtId="164" fontId="18" fillId="6" borderId="132" xfId="1" applyNumberFormat="1" applyFont="1" applyFill="1" applyBorder="1" applyAlignment="1">
      <alignment horizontal="center" vertical="center"/>
    </xf>
    <xf numFmtId="164" fontId="0" fillId="0" borderId="133" xfId="1" applyNumberFormat="1" applyFont="1" applyBorder="1" applyAlignment="1">
      <alignment horizontal="center" vertical="center"/>
    </xf>
    <xf numFmtId="164" fontId="0" fillId="0" borderId="49" xfId="1" applyNumberFormat="1" applyFont="1" applyBorder="1" applyAlignment="1">
      <alignment vertical="center"/>
    </xf>
    <xf numFmtId="164" fontId="0" fillId="5" borderId="34" xfId="1" applyNumberFormat="1" applyFont="1" applyFill="1" applyBorder="1" applyAlignment="1">
      <alignment vertical="center"/>
    </xf>
    <xf numFmtId="164" fontId="18" fillId="6" borderId="51" xfId="1" applyNumberFormat="1" applyFont="1" applyFill="1" applyBorder="1" applyAlignment="1">
      <alignment vertical="center"/>
    </xf>
    <xf numFmtId="0" fontId="6" fillId="4" borderId="1" xfId="0" applyFont="1" applyFill="1" applyBorder="1" applyAlignment="1">
      <alignment vertical="center"/>
    </xf>
    <xf numFmtId="0" fontId="12" fillId="0" borderId="34" xfId="0" applyFont="1" applyBorder="1" applyAlignment="1">
      <alignment horizontal="center" vertical="center"/>
    </xf>
    <xf numFmtId="0" fontId="63" fillId="20" borderId="34" xfId="0" applyFont="1" applyFill="1" applyBorder="1" applyAlignment="1">
      <alignment horizontal="left" vertical="center"/>
    </xf>
    <xf numFmtId="0" fontId="14" fillId="0" borderId="34" xfId="2" applyFont="1" applyBorder="1" applyAlignment="1">
      <alignment vertical="center"/>
    </xf>
    <xf numFmtId="0" fontId="14" fillId="0" borderId="34" xfId="0" applyFont="1" applyFill="1" applyBorder="1" applyAlignment="1">
      <alignment vertical="center"/>
    </xf>
    <xf numFmtId="0" fontId="1" fillId="0" borderId="34" xfId="0" applyFont="1" applyBorder="1" applyAlignment="1">
      <alignment vertical="center"/>
    </xf>
    <xf numFmtId="0" fontId="3" fillId="20" borderId="22" xfId="0" applyFont="1" applyFill="1" applyBorder="1" applyAlignment="1">
      <alignment horizontal="center" vertical="center"/>
    </xf>
    <xf numFmtId="0" fontId="3" fillId="20" borderId="23" xfId="0" applyFont="1" applyFill="1" applyBorder="1" applyAlignment="1">
      <alignment horizontal="center" vertical="center"/>
    </xf>
    <xf numFmtId="164" fontId="0" fillId="20" borderId="22" xfId="1" applyNumberFormat="1" applyFont="1" applyFill="1" applyBorder="1" applyAlignment="1">
      <alignment horizontal="center" vertical="center"/>
    </xf>
    <xf numFmtId="164" fontId="0" fillId="20" borderId="23" xfId="1" applyNumberFormat="1" applyFont="1" applyFill="1" applyBorder="1" applyAlignment="1">
      <alignment vertical="center"/>
    </xf>
    <xf numFmtId="164" fontId="0" fillId="20" borderId="23" xfId="1" applyNumberFormat="1" applyFont="1" applyFill="1" applyBorder="1" applyAlignment="1">
      <alignment horizontal="center" vertical="center"/>
    </xf>
    <xf numFmtId="164" fontId="0" fillId="0" borderId="22" xfId="1" applyNumberFormat="1" applyFont="1" applyBorder="1" applyAlignment="1">
      <alignment horizontal="center" vertical="center"/>
    </xf>
    <xf numFmtId="164" fontId="0" fillId="14" borderId="22" xfId="1" applyNumberFormat="1" applyFont="1" applyFill="1" applyBorder="1" applyAlignment="1">
      <alignment horizontal="center" vertical="center"/>
    </xf>
    <xf numFmtId="164" fontId="0" fillId="5" borderId="22" xfId="1" applyNumberFormat="1" applyFont="1" applyFill="1" applyBorder="1" applyAlignment="1">
      <alignment horizontal="center" vertical="center"/>
    </xf>
    <xf numFmtId="164" fontId="0" fillId="5" borderId="23" xfId="1" applyNumberFormat="1" applyFont="1" applyFill="1" applyBorder="1" applyAlignment="1">
      <alignment horizontal="center" vertical="center"/>
    </xf>
    <xf numFmtId="0" fontId="0" fillId="14" borderId="23" xfId="0" applyFill="1" applyBorder="1" applyAlignment="1">
      <alignment vertical="center"/>
    </xf>
    <xf numFmtId="164" fontId="0" fillId="5" borderId="23" xfId="1" applyNumberFormat="1" applyFont="1" applyFill="1" applyBorder="1" applyAlignment="1">
      <alignment vertical="center"/>
    </xf>
    <xf numFmtId="164" fontId="0" fillId="21" borderId="22" xfId="1" applyNumberFormat="1" applyFont="1" applyFill="1" applyBorder="1" applyAlignment="1">
      <alignment horizontal="center" vertical="center"/>
    </xf>
    <xf numFmtId="164" fontId="0" fillId="21" borderId="23" xfId="1" applyNumberFormat="1" applyFont="1" applyFill="1" applyBorder="1" applyAlignment="1">
      <alignment vertical="center"/>
    </xf>
    <xf numFmtId="164" fontId="14" fillId="0" borderId="22" xfId="8" applyNumberFormat="1" applyFont="1" applyBorder="1" applyAlignment="1">
      <alignment horizontal="center" vertical="center"/>
    </xf>
    <xf numFmtId="164" fontId="14" fillId="0" borderId="24" xfId="1" applyNumberFormat="1" applyFont="1" applyBorder="1" applyAlignment="1">
      <alignment horizontal="center" vertical="center"/>
    </xf>
    <xf numFmtId="0" fontId="27" fillId="0" borderId="107" xfId="0" applyFont="1" applyBorder="1" applyAlignment="1">
      <alignment horizontal="right" vertical="center"/>
    </xf>
    <xf numFmtId="0" fontId="0" fillId="0" borderId="20"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11" borderId="70" xfId="0" applyFont="1" applyFill="1" applyBorder="1" applyAlignment="1">
      <alignment vertical="center"/>
    </xf>
    <xf numFmtId="164" fontId="3" fillId="11" borderId="70" xfId="1" applyNumberFormat="1" applyFont="1" applyFill="1" applyBorder="1" applyAlignment="1">
      <alignment vertical="center"/>
    </xf>
    <xf numFmtId="164" fontId="3" fillId="11" borderId="41" xfId="1" applyNumberFormat="1" applyFont="1" applyFill="1" applyBorder="1" applyAlignment="1">
      <alignment vertical="center"/>
    </xf>
    <xf numFmtId="0" fontId="12" fillId="10" borderId="92" xfId="0" applyFont="1" applyFill="1" applyBorder="1" applyAlignment="1">
      <alignment horizontal="center" vertical="center"/>
    </xf>
    <xf numFmtId="0" fontId="0" fillId="0" borderId="50" xfId="0" applyBorder="1" applyAlignment="1">
      <alignment vertical="center"/>
    </xf>
    <xf numFmtId="164" fontId="0" fillId="5" borderId="19" xfId="1" applyNumberFormat="1" applyFont="1" applyFill="1" applyBorder="1" applyAlignment="1">
      <alignment horizontal="center" vertical="center"/>
    </xf>
    <xf numFmtId="164" fontId="24" fillId="6" borderId="58" xfId="1" applyNumberFormat="1" applyFont="1" applyFill="1" applyBorder="1" applyAlignment="1">
      <alignment vertical="center"/>
    </xf>
    <xf numFmtId="164" fontId="24" fillId="6" borderId="33" xfId="1" applyNumberFormat="1" applyFont="1" applyFill="1" applyBorder="1" applyAlignment="1">
      <alignment vertical="center"/>
    </xf>
    <xf numFmtId="164" fontId="24" fillId="6" borderId="33" xfId="1" applyNumberFormat="1" applyFont="1" applyFill="1" applyBorder="1" applyAlignment="1">
      <alignment horizontal="center" vertical="center"/>
    </xf>
    <xf numFmtId="0" fontId="14" fillId="5" borderId="25" xfId="0" quotePrefix="1" applyFont="1" applyFill="1" applyBorder="1" applyAlignment="1">
      <alignment vertical="center"/>
    </xf>
    <xf numFmtId="0" fontId="0" fillId="5" borderId="51" xfId="0" applyFill="1" applyBorder="1" applyAlignment="1">
      <alignment vertical="center"/>
    </xf>
    <xf numFmtId="164" fontId="0" fillId="5" borderId="24" xfId="1" applyNumberFormat="1" applyFont="1" applyFill="1" applyBorder="1" applyAlignment="1">
      <alignment vertical="center"/>
    </xf>
    <xf numFmtId="164" fontId="0" fillId="5" borderId="25" xfId="1" applyNumberFormat="1" applyFont="1" applyFill="1" applyBorder="1" applyAlignment="1">
      <alignment vertical="center"/>
    </xf>
    <xf numFmtId="164" fontId="0" fillId="5" borderId="25" xfId="1" applyNumberFormat="1" applyFont="1" applyFill="1" applyBorder="1" applyAlignment="1">
      <alignment horizontal="center" vertical="center"/>
    </xf>
    <xf numFmtId="0" fontId="11" fillId="11" borderId="71" xfId="0" applyFont="1" applyFill="1" applyBorder="1" applyAlignment="1">
      <alignment horizontal="center" vertical="center" wrapText="1"/>
    </xf>
    <xf numFmtId="9" fontId="0" fillId="5" borderId="49" xfId="3" applyFont="1" applyFill="1" applyBorder="1" applyAlignment="1">
      <alignment horizontal="center" vertical="center"/>
    </xf>
    <xf numFmtId="9" fontId="0" fillId="5" borderId="51" xfId="3" applyFont="1" applyFill="1" applyBorder="1" applyAlignment="1">
      <alignment horizontal="center" vertical="center"/>
    </xf>
    <xf numFmtId="9" fontId="24" fillId="6" borderId="46" xfId="3" applyFont="1" applyFill="1" applyBorder="1" applyAlignment="1">
      <alignment horizontal="center" vertical="center"/>
    </xf>
    <xf numFmtId="9" fontId="0" fillId="5" borderId="34" xfId="3" applyFont="1" applyFill="1" applyBorder="1" applyAlignment="1">
      <alignment horizontal="center" vertical="center"/>
    </xf>
    <xf numFmtId="9" fontId="24" fillId="6" borderId="34" xfId="3" applyFont="1" applyFill="1" applyBorder="1" applyAlignment="1">
      <alignment horizontal="center" vertical="center"/>
    </xf>
    <xf numFmtId="9" fontId="24" fillId="6" borderId="51" xfId="3" applyFont="1" applyFill="1" applyBorder="1" applyAlignment="1">
      <alignment horizontal="center" vertical="center"/>
    </xf>
    <xf numFmtId="164" fontId="0" fillId="5" borderId="49" xfId="1" applyNumberFormat="1" applyFont="1" applyFill="1" applyBorder="1" applyAlignment="1">
      <alignment vertical="center"/>
    </xf>
    <xf numFmtId="164" fontId="0" fillId="5" borderId="42" xfId="1" applyNumberFormat="1" applyFont="1" applyFill="1" applyBorder="1" applyAlignment="1">
      <alignment vertical="center"/>
    </xf>
    <xf numFmtId="164" fontId="0" fillId="0" borderId="34" xfId="1" applyNumberFormat="1" applyFont="1" applyFill="1" applyBorder="1" applyAlignment="1">
      <alignment vertical="center"/>
    </xf>
    <xf numFmtId="0" fontId="0" fillId="0" borderId="1" xfId="0" applyBorder="1" applyAlignment="1">
      <alignment vertical="center"/>
    </xf>
    <xf numFmtId="164" fontId="1" fillId="14" borderId="58" xfId="1" applyNumberFormat="1" applyFont="1" applyFill="1" applyBorder="1" applyAlignment="1">
      <alignment vertical="center"/>
    </xf>
    <xf numFmtId="164" fontId="1" fillId="0" borderId="33" xfId="1" applyNumberFormat="1" applyFont="1" applyBorder="1" applyAlignment="1">
      <alignment horizontal="center" vertical="center"/>
    </xf>
    <xf numFmtId="164" fontId="0" fillId="14" borderId="85" xfId="1" applyNumberFormat="1" applyFont="1" applyFill="1" applyBorder="1" applyAlignment="1">
      <alignment vertical="center"/>
    </xf>
    <xf numFmtId="164" fontId="0" fillId="14" borderId="87" xfId="1" applyNumberFormat="1" applyFont="1" applyFill="1" applyBorder="1" applyAlignment="1">
      <alignment vertical="center"/>
    </xf>
    <xf numFmtId="164" fontId="1" fillId="0" borderId="25" xfId="1" applyNumberFormat="1" applyFont="1" applyBorder="1" applyAlignment="1">
      <alignment horizontal="center" vertical="center"/>
    </xf>
    <xf numFmtId="164" fontId="1" fillId="14" borderId="60" xfId="1" applyNumberFormat="1" applyFont="1" applyFill="1" applyBorder="1" applyAlignment="1">
      <alignment vertical="center"/>
    </xf>
    <xf numFmtId="164" fontId="1" fillId="14" borderId="35" xfId="1" applyNumberFormat="1" applyFont="1" applyFill="1" applyBorder="1" applyAlignment="1">
      <alignment vertical="center"/>
    </xf>
    <xf numFmtId="164" fontId="1" fillId="14" borderId="72" xfId="1" applyNumberFormat="1" applyFont="1" applyFill="1" applyBorder="1" applyAlignment="1">
      <alignment vertical="center"/>
    </xf>
    <xf numFmtId="164" fontId="1" fillId="14" borderId="66" xfId="1" applyNumberFormat="1" applyFont="1" applyFill="1" applyBorder="1" applyAlignment="1">
      <alignment vertical="center"/>
    </xf>
    <xf numFmtId="164" fontId="1" fillId="14" borderId="85" xfId="1" applyNumberFormat="1" applyFont="1" applyFill="1" applyBorder="1" applyAlignment="1">
      <alignment vertical="center"/>
    </xf>
    <xf numFmtId="164" fontId="1" fillId="11" borderId="72" xfId="1" applyNumberFormat="1" applyFont="1" applyFill="1" applyBorder="1" applyAlignment="1">
      <alignmen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107" xfId="0" applyFont="1" applyBorder="1" applyAlignment="1">
      <alignment horizontal="center" vertical="center"/>
    </xf>
    <xf numFmtId="0" fontId="1" fillId="0" borderId="57" xfId="0" applyFont="1" applyBorder="1" applyAlignment="1">
      <alignment horizontal="center" vertical="center"/>
    </xf>
    <xf numFmtId="0" fontId="1" fillId="0" borderId="59" xfId="0" applyFont="1" applyBorder="1" applyAlignment="1">
      <alignment horizontal="center" vertical="center"/>
    </xf>
    <xf numFmtId="0" fontId="1" fillId="11" borderId="56" xfId="0" applyFont="1" applyFill="1" applyBorder="1" applyAlignment="1">
      <alignment horizontal="center" vertical="center"/>
    </xf>
    <xf numFmtId="0" fontId="1" fillId="0" borderId="56" xfId="0" applyFont="1" applyFill="1" applyBorder="1" applyAlignment="1">
      <alignment horizontal="center" vertical="center"/>
    </xf>
    <xf numFmtId="0" fontId="1" fillId="11" borderId="107" xfId="0" applyFont="1" applyFill="1" applyBorder="1" applyAlignment="1">
      <alignment horizontal="center" vertical="center"/>
    </xf>
    <xf numFmtId="0" fontId="0" fillId="0" borderId="63" xfId="0" applyFont="1" applyBorder="1" applyAlignment="1">
      <alignment vertical="center"/>
    </xf>
    <xf numFmtId="0" fontId="14" fillId="0" borderId="63" xfId="0" applyFont="1" applyBorder="1" applyAlignment="1">
      <alignment vertical="center"/>
    </xf>
    <xf numFmtId="0" fontId="0" fillId="0" borderId="0" xfId="0" applyAlignment="1">
      <alignment horizontal="left"/>
    </xf>
    <xf numFmtId="164" fontId="1" fillId="0" borderId="70" xfId="1" applyNumberFormat="1" applyFont="1" applyBorder="1" applyAlignment="1">
      <alignment horizontal="center" vertical="center"/>
    </xf>
    <xf numFmtId="0" fontId="14" fillId="0" borderId="60" xfId="0" applyFont="1" applyBorder="1" applyAlignment="1">
      <alignment horizontal="left" vertical="center"/>
    </xf>
    <xf numFmtId="0" fontId="0" fillId="11" borderId="60" xfId="0" applyFill="1" applyBorder="1" applyAlignment="1">
      <alignment vertical="center" textRotation="90"/>
    </xf>
    <xf numFmtId="0" fontId="0" fillId="11" borderId="35" xfId="0" applyFill="1" applyBorder="1" applyAlignment="1">
      <alignment vertical="center" textRotation="90"/>
    </xf>
    <xf numFmtId="0" fontId="0" fillId="11" borderId="66" xfId="0" applyFill="1" applyBorder="1" applyAlignment="1">
      <alignment vertical="center" textRotation="90"/>
    </xf>
    <xf numFmtId="164" fontId="0" fillId="0" borderId="63" xfId="0" applyNumberFormat="1" applyFont="1" applyBorder="1" applyAlignment="1">
      <alignment horizontal="center" vertical="center"/>
    </xf>
    <xf numFmtId="0" fontId="2" fillId="18" borderId="55" xfId="0" applyFont="1" applyFill="1" applyBorder="1" applyAlignment="1">
      <alignment horizontal="center" vertical="center"/>
    </xf>
    <xf numFmtId="0" fontId="3" fillId="18" borderId="55" xfId="0" applyFont="1" applyFill="1" applyBorder="1" applyAlignment="1">
      <alignment horizontal="center" vertical="center" wrapText="1"/>
    </xf>
    <xf numFmtId="0" fontId="0" fillId="11" borderId="56" xfId="0" applyFill="1" applyBorder="1" applyAlignment="1"/>
    <xf numFmtId="0" fontId="0" fillId="11" borderId="57" xfId="0" applyFill="1" applyBorder="1" applyAlignment="1"/>
    <xf numFmtId="0" fontId="0" fillId="11" borderId="55" xfId="0" applyFill="1" applyBorder="1" applyAlignment="1">
      <alignment vertical="center" textRotation="90"/>
    </xf>
    <xf numFmtId="0" fontId="0" fillId="11" borderId="56" xfId="0" applyFill="1" applyBorder="1" applyAlignment="1">
      <alignment vertical="center" textRotation="90"/>
    </xf>
    <xf numFmtId="0" fontId="0" fillId="11" borderId="57" xfId="0" applyFill="1" applyBorder="1" applyAlignment="1">
      <alignment vertical="center" textRotation="90"/>
    </xf>
    <xf numFmtId="0" fontId="7" fillId="11" borderId="107" xfId="0" applyFont="1" applyFill="1" applyBorder="1" applyAlignment="1">
      <alignment vertical="center" textRotation="90"/>
    </xf>
    <xf numFmtId="0" fontId="14" fillId="0" borderId="34" xfId="0" applyFont="1" applyBorder="1" applyAlignment="1">
      <alignment vertical="center"/>
    </xf>
    <xf numFmtId="0" fontId="0" fillId="0" borderId="18" xfId="0" applyBorder="1" applyAlignment="1">
      <alignment vertical="center"/>
    </xf>
    <xf numFmtId="0" fontId="3" fillId="20" borderId="58" xfId="0" applyFont="1" applyFill="1" applyBorder="1" applyAlignment="1">
      <alignment horizontal="center" vertical="center"/>
    </xf>
    <xf numFmtId="0" fontId="3" fillId="20" borderId="50" xfId="0" applyFont="1" applyFill="1" applyBorder="1" applyAlignment="1">
      <alignment horizontal="center" vertical="center"/>
    </xf>
    <xf numFmtId="0" fontId="3" fillId="11" borderId="61" xfId="0" applyFont="1" applyFill="1" applyBorder="1" applyAlignment="1">
      <alignment horizontal="center" vertical="center"/>
    </xf>
    <xf numFmtId="0" fontId="3" fillId="11" borderId="92" xfId="0" applyFont="1" applyFill="1" applyBorder="1" applyAlignment="1">
      <alignment horizontal="center" vertical="center"/>
    </xf>
    <xf numFmtId="0" fontId="3" fillId="14" borderId="18" xfId="0" applyFont="1" applyFill="1" applyBorder="1" applyAlignment="1">
      <alignment horizontal="center" vertical="center"/>
    </xf>
    <xf numFmtId="0" fontId="0" fillId="0" borderId="18" xfId="0" applyBorder="1" applyAlignment="1">
      <alignment vertical="center"/>
    </xf>
    <xf numFmtId="0" fontId="14" fillId="0" borderId="33" xfId="0" applyFont="1" applyBorder="1" applyAlignment="1">
      <alignment vertical="center" wrapText="1"/>
    </xf>
    <xf numFmtId="164" fontId="0" fillId="0" borderId="0" xfId="0" applyNumberFormat="1" applyAlignment="1">
      <alignment horizontal="center" vertical="center"/>
    </xf>
    <xf numFmtId="0" fontId="1" fillId="0" borderId="34" xfId="0" applyFont="1" applyBorder="1" applyAlignment="1">
      <alignment vertical="center" wrapText="1"/>
    </xf>
    <xf numFmtId="0" fontId="66" fillId="0" borderId="22" xfId="0" applyFont="1" applyBorder="1" applyAlignment="1">
      <alignment horizontal="center" vertical="center"/>
    </xf>
    <xf numFmtId="0" fontId="14" fillId="0" borderId="0" xfId="0" applyFont="1"/>
    <xf numFmtId="0" fontId="14" fillId="0" borderId="0" xfId="0" applyFont="1" applyAlignment="1">
      <alignment horizontal="center" vertical="center"/>
    </xf>
    <xf numFmtId="0" fontId="14" fillId="0" borderId="0" xfId="0" applyFont="1" applyAlignment="1">
      <alignment horizontal="center"/>
    </xf>
    <xf numFmtId="0" fontId="14" fillId="0" borderId="0" xfId="0" applyFont="1" applyAlignment="1">
      <alignment horizontal="left"/>
    </xf>
    <xf numFmtId="0" fontId="0" fillId="0" borderId="34" xfId="0" applyFont="1" applyBorder="1" applyAlignment="1">
      <alignment vertical="center"/>
    </xf>
    <xf numFmtId="0" fontId="0" fillId="0" borderId="18" xfId="0" applyFont="1" applyBorder="1" applyAlignment="1">
      <alignment vertical="center"/>
    </xf>
    <xf numFmtId="0" fontId="0" fillId="0" borderId="18" xfId="0" applyBorder="1" applyAlignment="1">
      <alignment vertical="center"/>
    </xf>
    <xf numFmtId="0" fontId="67" fillId="0" borderId="0" xfId="10" applyAlignment="1" applyProtection="1">
      <alignment horizontal="left" vertical="center"/>
    </xf>
    <xf numFmtId="0" fontId="14" fillId="0" borderId="1" xfId="0" applyFont="1" applyBorder="1"/>
    <xf numFmtId="0" fontId="14" fillId="0" borderId="35"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0" fillId="0" borderId="18" xfId="0" applyFont="1" applyBorder="1" applyAlignment="1">
      <alignment vertical="center"/>
    </xf>
    <xf numFmtId="0" fontId="14" fillId="0" borderId="34" xfId="0" applyFont="1" applyBorder="1" applyAlignment="1">
      <alignment vertical="center"/>
    </xf>
    <xf numFmtId="0" fontId="14" fillId="0" borderId="35" xfId="0" applyFont="1" applyBorder="1" applyAlignment="1">
      <alignment vertical="center"/>
    </xf>
    <xf numFmtId="0" fontId="0" fillId="0" borderId="18" xfId="0" applyFont="1" applyBorder="1" applyAlignment="1">
      <alignment horizontal="center" vertical="center" wrapText="1"/>
    </xf>
    <xf numFmtId="0" fontId="0" fillId="0" borderId="20" xfId="0"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0" fillId="0" borderId="1" xfId="0" applyBorder="1" applyAlignment="1">
      <alignment vertical="center"/>
    </xf>
    <xf numFmtId="164" fontId="0" fillId="0" borderId="17" xfId="1" applyNumberFormat="1" applyFont="1" applyBorder="1" applyAlignment="1">
      <alignment horizontal="center" vertical="center"/>
    </xf>
    <xf numFmtId="0" fontId="0" fillId="0" borderId="44" xfId="0" applyBorder="1" applyAlignment="1">
      <alignment vertical="center"/>
    </xf>
    <xf numFmtId="0" fontId="0" fillId="0" borderId="45" xfId="0" applyBorder="1" applyAlignment="1">
      <alignment vertical="center"/>
    </xf>
    <xf numFmtId="0" fontId="14" fillId="0" borderId="93" xfId="0" applyFont="1" applyBorder="1" applyAlignment="1">
      <alignment vertical="center"/>
    </xf>
    <xf numFmtId="0" fontId="0" fillId="0" borderId="17" xfId="0" applyFont="1" applyBorder="1" applyAlignment="1">
      <alignment horizontal="center" vertical="center"/>
    </xf>
    <xf numFmtId="0" fontId="0" fillId="0" borderId="17" xfId="0" applyFont="1" applyFill="1" applyBorder="1" applyAlignment="1">
      <alignment vertical="center"/>
    </xf>
    <xf numFmtId="0" fontId="14" fillId="0" borderId="34" xfId="0" applyFont="1"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0" fillId="0" borderId="1" xfId="0" applyBorder="1" applyAlignment="1">
      <alignment vertical="center"/>
    </xf>
    <xf numFmtId="0" fontId="0" fillId="0" borderId="0" xfId="0" applyAlignment="1">
      <alignment horizontal="center" vertical="center"/>
    </xf>
    <xf numFmtId="10" fontId="0" fillId="0" borderId="0" xfId="0" applyNumberFormat="1" applyAlignment="1">
      <alignment horizontal="left" vertical="center"/>
    </xf>
    <xf numFmtId="0" fontId="0" fillId="0" borderId="94" xfId="0" applyBorder="1" applyAlignment="1">
      <alignment vertical="center"/>
    </xf>
    <xf numFmtId="0" fontId="0" fillId="0" borderId="85" xfId="0" applyBorder="1" applyAlignment="1">
      <alignment vertical="center"/>
    </xf>
    <xf numFmtId="0" fontId="14" fillId="0" borderId="34" xfId="0" applyFont="1" applyBorder="1" applyAlignment="1">
      <alignment vertical="center"/>
    </xf>
    <xf numFmtId="0" fontId="14" fillId="0" borderId="82" xfId="0" applyFont="1" applyBorder="1" applyAlignment="1">
      <alignment vertical="center"/>
    </xf>
    <xf numFmtId="0" fontId="14" fillId="0" borderId="35" xfId="0" applyFont="1" applyBorder="1" applyAlignment="1">
      <alignment vertical="center"/>
    </xf>
    <xf numFmtId="0" fontId="0" fillId="0" borderId="18" xfId="0" applyBorder="1" applyAlignment="1">
      <alignment vertical="center"/>
    </xf>
    <xf numFmtId="0" fontId="0" fillId="0" borderId="22" xfId="0" applyBorder="1" applyAlignment="1">
      <alignment horizontal="center" vertical="center"/>
    </xf>
    <xf numFmtId="0" fontId="14" fillId="0" borderId="42" xfId="0" applyFont="1" applyBorder="1" applyAlignment="1">
      <alignment vertical="center"/>
    </xf>
    <xf numFmtId="164" fontId="14" fillId="0" borderId="38" xfId="1" applyNumberFormat="1" applyFont="1" applyBorder="1" applyAlignment="1">
      <alignment horizontal="center" vertical="center"/>
    </xf>
    <xf numFmtId="164" fontId="0" fillId="0" borderId="39" xfId="1" applyNumberFormat="1" applyFont="1" applyBorder="1" applyAlignment="1">
      <alignment vertical="center"/>
    </xf>
    <xf numFmtId="164" fontId="14" fillId="0" borderId="22" xfId="1" applyNumberFormat="1" applyFont="1" applyBorder="1" applyAlignment="1">
      <alignment horizontal="center" vertical="center"/>
    </xf>
    <xf numFmtId="0" fontId="14" fillId="0" borderId="31" xfId="0" applyFont="1" applyBorder="1" applyAlignment="1">
      <alignment vertical="center"/>
    </xf>
    <xf numFmtId="0" fontId="14" fillId="0" borderId="43" xfId="0" applyFont="1" applyBorder="1" applyAlignment="1">
      <alignment vertical="center"/>
    </xf>
    <xf numFmtId="164" fontId="14" fillId="0" borderId="23" xfId="8" applyNumberFormat="1" applyFont="1" applyBorder="1" applyAlignment="1">
      <alignment horizontal="center" vertical="center"/>
    </xf>
    <xf numFmtId="0" fontId="3" fillId="9" borderId="10" xfId="0" applyFont="1" applyFill="1" applyBorder="1" applyAlignment="1">
      <alignment horizontal="right" vertical="center"/>
    </xf>
    <xf numFmtId="0" fontId="0" fillId="0" borderId="18" xfId="0" applyBorder="1" applyAlignment="1">
      <alignment vertical="center"/>
    </xf>
    <xf numFmtId="0" fontId="0" fillId="0" borderId="1" xfId="0" applyBorder="1" applyAlignment="1">
      <alignment vertical="center"/>
    </xf>
    <xf numFmtId="0" fontId="0" fillId="0" borderId="0" xfId="0" applyAlignment="1">
      <alignment horizontal="center" vertical="center"/>
    </xf>
    <xf numFmtId="0" fontId="0" fillId="0" borderId="94"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94" xfId="0" applyBorder="1"/>
    <xf numFmtId="0" fontId="3" fillId="11" borderId="18" xfId="0" applyFont="1" applyFill="1" applyBorder="1" applyAlignment="1">
      <alignment horizontal="center"/>
    </xf>
    <xf numFmtId="0" fontId="0" fillId="0" borderId="44" xfId="0" applyBorder="1"/>
    <xf numFmtId="0" fontId="0" fillId="0" borderId="45" xfId="0" applyBorder="1"/>
    <xf numFmtId="0" fontId="0" fillId="0" borderId="46" xfId="0" applyBorder="1"/>
    <xf numFmtId="0" fontId="0" fillId="0" borderId="85" xfId="0" applyBorder="1"/>
    <xf numFmtId="0" fontId="3" fillId="2" borderId="97" xfId="0" applyFont="1" applyFill="1" applyBorder="1" applyAlignment="1">
      <alignment horizontal="center" vertical="center" wrapText="1"/>
    </xf>
    <xf numFmtId="0" fontId="3" fillId="2" borderId="9" xfId="0" applyFont="1" applyFill="1" applyBorder="1" applyAlignment="1">
      <alignment horizontal="center" vertical="center"/>
    </xf>
    <xf numFmtId="0" fontId="14" fillId="0" borderId="1" xfId="0" quotePrefix="1" applyFont="1" applyBorder="1"/>
    <xf numFmtId="0" fontId="14" fillId="0" borderId="94" xfId="0" applyFont="1" applyBorder="1"/>
    <xf numFmtId="0" fontId="14" fillId="5" borderId="33" xfId="0" applyFont="1" applyFill="1" applyBorder="1" applyAlignment="1">
      <alignment horizontal="left" vertical="center"/>
    </xf>
    <xf numFmtId="0" fontId="0" fillId="5" borderId="46" xfId="0" applyFill="1" applyBorder="1" applyAlignment="1">
      <alignment vertical="center"/>
    </xf>
    <xf numFmtId="0" fontId="0" fillId="0" borderId="87" xfId="0" applyBorder="1" applyAlignment="1">
      <alignment horizontal="center" vertical="center"/>
    </xf>
    <xf numFmtId="0" fontId="2" fillId="18" borderId="55" xfId="0" applyFont="1" applyFill="1" applyBorder="1" applyAlignment="1">
      <alignment horizontal="center" vertical="center"/>
    </xf>
    <xf numFmtId="0" fontId="14" fillId="0" borderId="34" xfId="0" applyFont="1" applyBorder="1" applyAlignment="1">
      <alignment vertical="center"/>
    </xf>
    <xf numFmtId="164" fontId="10" fillId="14" borderId="18" xfId="1" applyNumberFormat="1" applyFont="1" applyFill="1" applyBorder="1"/>
    <xf numFmtId="0" fontId="67" fillId="0" borderId="0" xfId="10" applyAlignment="1" applyProtection="1">
      <alignment horizontal="center"/>
    </xf>
    <xf numFmtId="0" fontId="67" fillId="0" borderId="0" xfId="10" applyAlignment="1" applyProtection="1">
      <alignment horizontal="center" vertical="center"/>
    </xf>
    <xf numFmtId="0" fontId="67" fillId="0" borderId="0" xfId="10" applyAlignment="1" applyProtection="1"/>
    <xf numFmtId="0" fontId="67" fillId="0" borderId="0" xfId="10" applyAlignment="1" applyProtection="1">
      <alignment horizontal="left"/>
    </xf>
    <xf numFmtId="0" fontId="3" fillId="0" borderId="0" xfId="0" applyFont="1"/>
    <xf numFmtId="0" fontId="3" fillId="0" borderId="0" xfId="0" applyFont="1" applyAlignment="1">
      <alignment horizontal="left"/>
    </xf>
    <xf numFmtId="0" fontId="68" fillId="0" borderId="0" xfId="10" applyFont="1" applyAlignment="1" applyProtection="1">
      <alignment horizontal="left" vertical="center"/>
    </xf>
    <xf numFmtId="0" fontId="34" fillId="18" borderId="88" xfId="0" applyFont="1" applyFill="1" applyBorder="1" applyAlignment="1">
      <alignment horizontal="center" vertical="center" textRotation="90" wrapText="1"/>
    </xf>
    <xf numFmtId="0" fontId="34" fillId="18" borderId="89" xfId="0" applyFont="1" applyFill="1" applyBorder="1" applyAlignment="1">
      <alignment horizontal="center" vertical="center" textRotation="90" wrapText="1"/>
    </xf>
    <xf numFmtId="0" fontId="34" fillId="18" borderId="69" xfId="0" applyFont="1" applyFill="1" applyBorder="1" applyAlignment="1">
      <alignment horizontal="center" vertical="center" textRotation="90" wrapText="1"/>
    </xf>
    <xf numFmtId="0" fontId="34" fillId="18" borderId="79" xfId="0" applyFont="1" applyFill="1" applyBorder="1" applyAlignment="1">
      <alignment horizontal="center" vertical="center" textRotation="90" wrapText="1"/>
    </xf>
    <xf numFmtId="0" fontId="1" fillId="0" borderId="51" xfId="0" applyFont="1" applyBorder="1" applyAlignment="1">
      <alignment horizontal="left" vertical="center"/>
    </xf>
    <xf numFmtId="0" fontId="1" fillId="0" borderId="83" xfId="0" applyFont="1" applyBorder="1" applyAlignment="1">
      <alignment horizontal="left" vertical="center"/>
    </xf>
    <xf numFmtId="0" fontId="1" fillId="0" borderId="66" xfId="0" applyFont="1" applyBorder="1" applyAlignment="1">
      <alignment horizontal="left" vertical="center"/>
    </xf>
    <xf numFmtId="0" fontId="2" fillId="11" borderId="61" xfId="0" applyFont="1" applyFill="1" applyBorder="1" applyAlignment="1">
      <alignment horizontal="right" vertical="center"/>
    </xf>
    <xf numFmtId="0" fontId="2" fillId="11" borderId="62" xfId="0" applyFont="1" applyFill="1" applyBorder="1" applyAlignment="1">
      <alignment horizontal="right" vertical="center"/>
    </xf>
    <xf numFmtId="0" fontId="2" fillId="18" borderId="19" xfId="0" applyFont="1" applyFill="1" applyBorder="1" applyAlignment="1">
      <alignment horizontal="center" vertical="center" textRotation="90" wrapText="1"/>
    </xf>
    <xf numFmtId="0" fontId="0" fillId="11" borderId="20" xfId="0" applyFill="1" applyBorder="1" applyAlignment="1">
      <alignment textRotation="90"/>
    </xf>
    <xf numFmtId="0" fontId="0" fillId="11" borderId="21" xfId="0" applyFill="1" applyBorder="1" applyAlignment="1">
      <alignment textRotation="90"/>
    </xf>
    <xf numFmtId="0" fontId="0" fillId="11" borderId="22" xfId="0" applyFill="1" applyBorder="1" applyAlignment="1">
      <alignment textRotation="90"/>
    </xf>
    <xf numFmtId="0" fontId="0" fillId="11" borderId="18" xfId="0" applyFill="1" applyBorder="1" applyAlignment="1">
      <alignment textRotation="90"/>
    </xf>
    <xf numFmtId="0" fontId="0" fillId="11" borderId="23" xfId="0" applyFill="1" applyBorder="1" applyAlignment="1">
      <alignment textRotation="90"/>
    </xf>
    <xf numFmtId="0" fontId="2" fillId="18" borderId="55" xfId="0" applyFont="1" applyFill="1" applyBorder="1" applyAlignment="1">
      <alignment horizontal="center" vertical="center" textRotation="90"/>
    </xf>
    <xf numFmtId="0" fontId="0" fillId="11" borderId="56" xfId="0" applyFill="1" applyBorder="1" applyAlignment="1">
      <alignment textRotation="90"/>
    </xf>
    <xf numFmtId="0" fontId="2" fillId="18" borderId="60" xfId="0" applyFont="1" applyFill="1" applyBorder="1" applyAlignment="1">
      <alignment horizontal="center" vertical="center" textRotation="90"/>
    </xf>
    <xf numFmtId="0" fontId="0" fillId="11" borderId="35" xfId="0" applyFill="1" applyBorder="1" applyAlignment="1">
      <alignment textRotation="90"/>
    </xf>
    <xf numFmtId="0" fontId="0" fillId="11" borderId="34" xfId="0" applyFill="1" applyBorder="1" applyAlignment="1">
      <alignment textRotation="90"/>
    </xf>
    <xf numFmtId="0" fontId="49" fillId="19" borderId="82" xfId="0" applyFont="1" applyFill="1" applyBorder="1" applyAlignment="1">
      <alignment horizontal="left" vertical="center"/>
    </xf>
    <xf numFmtId="0" fontId="49" fillId="19" borderId="35" xfId="0" applyFont="1" applyFill="1" applyBorder="1" applyAlignment="1">
      <alignment horizontal="left" vertical="center"/>
    </xf>
    <xf numFmtId="0" fontId="0" fillId="0" borderId="67" xfId="0" applyFont="1" applyBorder="1" applyAlignment="1">
      <alignment horizontal="left" vertical="center"/>
    </xf>
    <xf numFmtId="0" fontId="0" fillId="0" borderId="82" xfId="0" applyFont="1" applyBorder="1" applyAlignment="1">
      <alignment horizontal="left" vertical="center"/>
    </xf>
    <xf numFmtId="0" fontId="0" fillId="0" borderId="35" xfId="0" applyFont="1" applyBorder="1" applyAlignment="1">
      <alignment horizontal="left" vertical="center"/>
    </xf>
    <xf numFmtId="0" fontId="1" fillId="0" borderId="67" xfId="0" applyFont="1" applyBorder="1" applyAlignment="1">
      <alignment horizontal="left" vertical="center"/>
    </xf>
    <xf numFmtId="0" fontId="1" fillId="0" borderId="82" xfId="0" applyFont="1" applyBorder="1" applyAlignment="1">
      <alignment horizontal="left" vertical="center"/>
    </xf>
    <xf numFmtId="0" fontId="1" fillId="0" borderId="35" xfId="0" applyFont="1" applyBorder="1" applyAlignment="1">
      <alignment horizontal="left" vertical="center"/>
    </xf>
    <xf numFmtId="0" fontId="1" fillId="0" borderId="64" xfId="0" applyFont="1" applyBorder="1" applyAlignment="1">
      <alignment horizontal="left" vertical="center"/>
    </xf>
    <xf numFmtId="0" fontId="1" fillId="0" borderId="63" xfId="0" applyFont="1" applyBorder="1" applyAlignment="1">
      <alignment horizontal="left" vertical="center"/>
    </xf>
    <xf numFmtId="0" fontId="1" fillId="0" borderId="60" xfId="0" applyFont="1" applyBorder="1" applyAlignment="1">
      <alignment horizontal="left" vertical="center"/>
    </xf>
    <xf numFmtId="0" fontId="2" fillId="18" borderId="27" xfId="0" applyFont="1" applyFill="1" applyBorder="1" applyAlignment="1">
      <alignment horizontal="center" vertical="center"/>
    </xf>
    <xf numFmtId="0" fontId="2" fillId="18" borderId="10" xfId="0" applyFont="1" applyFill="1" applyBorder="1" applyAlignment="1">
      <alignment horizontal="center" vertical="center"/>
    </xf>
    <xf numFmtId="0" fontId="22" fillId="18" borderId="40" xfId="0" applyFont="1" applyFill="1" applyBorder="1" applyAlignment="1">
      <alignment horizontal="center" vertical="center"/>
    </xf>
    <xf numFmtId="0" fontId="22" fillId="18" borderId="70" xfId="0" applyFont="1" applyFill="1" applyBorder="1" applyAlignment="1">
      <alignment horizontal="center" vertical="center"/>
    </xf>
    <xf numFmtId="0" fontId="22" fillId="18" borderId="75" xfId="0" applyFont="1" applyFill="1" applyBorder="1" applyAlignment="1">
      <alignment horizontal="center" vertical="center"/>
    </xf>
    <xf numFmtId="0" fontId="22" fillId="18" borderId="41" xfId="0" applyFont="1" applyFill="1" applyBorder="1" applyAlignment="1">
      <alignment horizontal="center" vertical="center"/>
    </xf>
    <xf numFmtId="0" fontId="2" fillId="18" borderId="88" xfId="0" applyFont="1" applyFill="1" applyBorder="1" applyAlignment="1">
      <alignment horizontal="center" vertical="center" textRotation="90" wrapText="1"/>
    </xf>
    <xf numFmtId="0" fontId="2" fillId="18" borderId="89" xfId="0" applyFont="1" applyFill="1" applyBorder="1" applyAlignment="1">
      <alignment horizontal="center" vertical="center" textRotation="90"/>
    </xf>
    <xf numFmtId="0" fontId="2" fillId="18" borderId="69" xfId="0" applyFont="1" applyFill="1" applyBorder="1" applyAlignment="1">
      <alignment horizontal="center" vertical="center" textRotation="90"/>
    </xf>
    <xf numFmtId="0" fontId="2" fillId="18" borderId="79" xfId="0" applyFont="1" applyFill="1" applyBorder="1" applyAlignment="1">
      <alignment horizontal="center" vertical="center" textRotation="90"/>
    </xf>
    <xf numFmtId="0" fontId="2" fillId="18" borderId="90" xfId="0" applyFont="1" applyFill="1" applyBorder="1" applyAlignment="1">
      <alignment horizontal="center" vertical="center" textRotation="90"/>
    </xf>
    <xf numFmtId="0" fontId="2" fillId="18" borderId="91" xfId="0" applyFont="1" applyFill="1" applyBorder="1" applyAlignment="1">
      <alignment horizontal="center" vertical="center" textRotation="90"/>
    </xf>
    <xf numFmtId="0" fontId="1" fillId="0" borderId="27" xfId="0" applyFont="1" applyBorder="1" applyAlignment="1">
      <alignment horizontal="left" vertical="center"/>
    </xf>
    <xf numFmtId="0" fontId="1" fillId="0" borderId="9" xfId="0" applyFont="1" applyBorder="1" applyAlignment="1">
      <alignment horizontal="left" vertical="center"/>
    </xf>
    <xf numFmtId="0" fontId="1" fillId="0" borderId="72" xfId="0" applyFont="1" applyBorder="1" applyAlignment="1">
      <alignment horizontal="left" vertical="center"/>
    </xf>
    <xf numFmtId="0" fontId="2" fillId="0" borderId="67" xfId="0" applyFont="1" applyBorder="1" applyAlignment="1">
      <alignment horizontal="left" vertical="center"/>
    </xf>
    <xf numFmtId="0" fontId="2" fillId="0" borderId="82" xfId="0" applyFont="1" applyBorder="1" applyAlignment="1">
      <alignment horizontal="left" vertical="center"/>
    </xf>
    <xf numFmtId="0" fontId="2" fillId="0" borderId="35" xfId="0" applyFont="1" applyBorder="1" applyAlignment="1">
      <alignment horizontal="left" vertical="center"/>
    </xf>
    <xf numFmtId="0" fontId="1" fillId="0" borderId="67" xfId="0" applyFont="1" applyBorder="1" applyAlignment="1">
      <alignment vertical="center"/>
    </xf>
    <xf numFmtId="0" fontId="1" fillId="0" borderId="82" xfId="0" applyFont="1" applyBorder="1" applyAlignment="1">
      <alignment vertical="center"/>
    </xf>
    <xf numFmtId="0" fontId="1" fillId="0" borderId="35" xfId="0" applyFont="1" applyBorder="1" applyAlignment="1">
      <alignment vertical="center"/>
    </xf>
    <xf numFmtId="0" fontId="2" fillId="11" borderId="92" xfId="0" applyFont="1" applyFill="1" applyBorder="1" applyAlignment="1">
      <alignment horizontal="right" vertical="center"/>
    </xf>
    <xf numFmtId="0" fontId="1" fillId="0" borderId="68" xfId="0" applyFont="1" applyBorder="1" applyAlignment="1">
      <alignment horizontal="left" vertical="center"/>
    </xf>
    <xf numFmtId="0" fontId="1" fillId="0" borderId="64" xfId="0" applyFont="1" applyBorder="1" applyAlignment="1">
      <alignment vertical="center"/>
    </xf>
    <xf numFmtId="0" fontId="1" fillId="0" borderId="63" xfId="0" applyFont="1" applyBorder="1" applyAlignment="1">
      <alignment vertical="center"/>
    </xf>
    <xf numFmtId="0" fontId="1" fillId="0" borderId="60" xfId="0" applyFont="1" applyBorder="1" applyAlignment="1">
      <alignment vertical="center"/>
    </xf>
    <xf numFmtId="0" fontId="3" fillId="18" borderId="64" xfId="0" applyFont="1" applyFill="1" applyBorder="1" applyAlignment="1">
      <alignment horizontal="center" vertical="center"/>
    </xf>
    <xf numFmtId="0" fontId="3" fillId="18" borderId="63" xfId="0" applyFont="1" applyFill="1" applyBorder="1" applyAlignment="1">
      <alignment horizontal="center" vertical="center"/>
    </xf>
    <xf numFmtId="0" fontId="3" fillId="18" borderId="65" xfId="0" applyFont="1" applyFill="1" applyBorder="1" applyAlignment="1">
      <alignment horizontal="center" vertical="center"/>
    </xf>
    <xf numFmtId="0" fontId="2" fillId="18" borderId="68" xfId="0" applyFont="1" applyFill="1" applyBorder="1" applyAlignment="1">
      <alignment horizontal="center" vertical="center"/>
    </xf>
    <xf numFmtId="0" fontId="2" fillId="18" borderId="66" xfId="0" applyFont="1" applyFill="1" applyBorder="1" applyAlignment="1">
      <alignment horizontal="center" vertical="center"/>
    </xf>
    <xf numFmtId="0" fontId="3" fillId="18" borderId="51" xfId="0" applyFont="1" applyFill="1" applyBorder="1" applyAlignment="1">
      <alignment horizontal="center" vertical="center" wrapText="1"/>
    </xf>
    <xf numFmtId="0" fontId="3" fillId="18" borderId="66" xfId="0" applyFont="1" applyFill="1" applyBorder="1" applyAlignment="1">
      <alignment horizontal="center" vertical="center" wrapText="1"/>
    </xf>
    <xf numFmtId="0" fontId="2" fillId="18" borderId="59" xfId="0" applyFont="1" applyFill="1" applyBorder="1" applyAlignment="1">
      <alignment horizontal="center" vertical="center" textRotation="90"/>
    </xf>
    <xf numFmtId="0" fontId="0" fillId="11" borderId="57" xfId="0" applyFill="1" applyBorder="1" applyAlignment="1">
      <alignment textRotation="90"/>
    </xf>
    <xf numFmtId="0" fontId="2" fillId="18" borderId="60" xfId="0" applyFont="1" applyFill="1" applyBorder="1" applyAlignment="1">
      <alignment horizontal="center" vertical="center" wrapText="1"/>
    </xf>
    <xf numFmtId="0" fontId="0" fillId="11" borderId="66" xfId="0" applyFill="1" applyBorder="1"/>
    <xf numFmtId="0" fontId="2" fillId="18" borderId="45" xfId="0" applyFont="1" applyFill="1" applyBorder="1" applyAlignment="1">
      <alignment horizontal="center" vertical="center"/>
    </xf>
    <xf numFmtId="0" fontId="0" fillId="11" borderId="54" xfId="0" applyFill="1" applyBorder="1"/>
    <xf numFmtId="0" fontId="0" fillId="11" borderId="66" xfId="0" applyFill="1" applyBorder="1" applyAlignment="1">
      <alignment textRotation="90"/>
    </xf>
    <xf numFmtId="0" fontId="0" fillId="11" borderId="26" xfId="0" applyFill="1" applyBorder="1" applyAlignment="1">
      <alignment textRotation="90"/>
    </xf>
    <xf numFmtId="0" fontId="3" fillId="11" borderId="21" xfId="0" applyFont="1" applyFill="1" applyBorder="1" applyAlignment="1">
      <alignment textRotation="90"/>
    </xf>
    <xf numFmtId="0" fontId="3" fillId="11" borderId="35" xfId="0" applyFont="1" applyFill="1" applyBorder="1" applyAlignment="1">
      <alignment textRotation="90"/>
    </xf>
    <xf numFmtId="0" fontId="3" fillId="11" borderId="23" xfId="0" applyFont="1" applyFill="1" applyBorder="1" applyAlignment="1">
      <alignment textRotation="90"/>
    </xf>
    <xf numFmtId="0" fontId="3" fillId="11" borderId="66" xfId="0" applyFont="1" applyFill="1" applyBorder="1" applyAlignment="1">
      <alignment textRotation="90"/>
    </xf>
    <xf numFmtId="0" fontId="3" fillId="11" borderId="26" xfId="0" applyFont="1" applyFill="1" applyBorder="1" applyAlignment="1">
      <alignment textRotation="90"/>
    </xf>
    <xf numFmtId="0" fontId="0" fillId="18" borderId="45" xfId="0" applyFont="1" applyFill="1" applyBorder="1" applyAlignment="1">
      <alignment horizontal="center" vertical="center"/>
    </xf>
    <xf numFmtId="0" fontId="2" fillId="18" borderId="19" xfId="0" applyFont="1" applyFill="1" applyBorder="1" applyAlignment="1">
      <alignment horizontal="center" vertical="center"/>
    </xf>
    <xf numFmtId="0" fontId="0" fillId="11" borderId="20" xfId="0" applyFill="1" applyBorder="1"/>
    <xf numFmtId="0" fontId="0" fillId="11" borderId="21" xfId="0" applyFill="1" applyBorder="1"/>
    <xf numFmtId="0" fontId="0" fillId="11" borderId="24" xfId="0" applyFill="1" applyBorder="1"/>
    <xf numFmtId="0" fontId="0" fillId="11" borderId="25" xfId="0" applyFill="1" applyBorder="1"/>
    <xf numFmtId="0" fontId="0" fillId="11" borderId="26" xfId="0" applyFill="1" applyBorder="1"/>
    <xf numFmtId="0" fontId="11" fillId="11" borderId="75" xfId="0" applyFont="1" applyFill="1" applyBorder="1" applyAlignment="1">
      <alignment horizontal="center" vertical="center"/>
    </xf>
    <xf numFmtId="0" fontId="11" fillId="11" borderId="48" xfId="0" applyFont="1" applyFill="1" applyBorder="1" applyAlignment="1">
      <alignment horizontal="center" vertical="center"/>
    </xf>
    <xf numFmtId="0" fontId="11" fillId="11" borderId="76" xfId="0" applyFont="1" applyFill="1" applyBorder="1" applyAlignment="1">
      <alignment horizontal="center" vertical="center"/>
    </xf>
    <xf numFmtId="0" fontId="11" fillId="11" borderId="77" xfId="0" applyFont="1" applyFill="1" applyBorder="1" applyAlignment="1">
      <alignment horizontal="center" vertical="center"/>
    </xf>
    <xf numFmtId="0" fontId="11" fillId="11" borderId="17" xfId="0" applyFont="1" applyFill="1" applyBorder="1" applyAlignment="1">
      <alignment horizontal="center" vertical="center"/>
    </xf>
    <xf numFmtId="0" fontId="11" fillId="11" borderId="78" xfId="0" applyFont="1" applyFill="1" applyBorder="1" applyAlignment="1">
      <alignment horizontal="center" vertical="center"/>
    </xf>
    <xf numFmtId="0" fontId="35" fillId="0" borderId="67" xfId="0" applyFont="1" applyBorder="1" applyAlignment="1">
      <alignment vertical="center"/>
    </xf>
    <xf numFmtId="0" fontId="35" fillId="0" borderId="82" xfId="0" applyFont="1" applyBorder="1" applyAlignment="1">
      <alignment vertical="center"/>
    </xf>
    <xf numFmtId="0" fontId="35" fillId="0" borderId="35" xfId="0" applyFont="1" applyBorder="1" applyAlignment="1">
      <alignment vertical="center"/>
    </xf>
    <xf numFmtId="0" fontId="35" fillId="0" borderId="64" xfId="0" applyFont="1" applyBorder="1" applyAlignment="1">
      <alignment horizontal="left" vertical="center"/>
    </xf>
    <xf numFmtId="0" fontId="35" fillId="0" borderId="63" xfId="0" applyFont="1" applyBorder="1" applyAlignment="1">
      <alignment horizontal="left" vertical="center"/>
    </xf>
    <xf numFmtId="0" fontId="35" fillId="0" borderId="60" xfId="0" applyFont="1" applyBorder="1" applyAlignment="1">
      <alignment horizontal="left" vertical="center"/>
    </xf>
    <xf numFmtId="0" fontId="2" fillId="11" borderId="67" xfId="0" applyFont="1" applyFill="1" applyBorder="1" applyAlignment="1">
      <alignment horizontal="right" vertical="center"/>
    </xf>
    <xf numFmtId="0" fontId="2" fillId="11" borderId="82" xfId="0" applyFont="1" applyFill="1" applyBorder="1" applyAlignment="1">
      <alignment horizontal="right" vertical="center"/>
    </xf>
    <xf numFmtId="0" fontId="2" fillId="11" borderId="35" xfId="0" applyFont="1" applyFill="1" applyBorder="1" applyAlignment="1">
      <alignment horizontal="right" vertical="center"/>
    </xf>
    <xf numFmtId="0" fontId="1" fillId="0" borderId="86" xfId="0" applyFont="1" applyBorder="1" applyAlignment="1">
      <alignment horizontal="left" vertical="center"/>
    </xf>
    <xf numFmtId="0" fontId="1" fillId="0" borderId="94" xfId="0" applyFont="1" applyBorder="1" applyAlignment="1">
      <alignment horizontal="left" vertical="center"/>
    </xf>
    <xf numFmtId="0" fontId="1" fillId="0" borderId="85" xfId="0" applyFont="1" applyBorder="1" applyAlignment="1">
      <alignment horizontal="left" vertical="center"/>
    </xf>
    <xf numFmtId="0" fontId="1" fillId="0" borderId="18" xfId="0" applyFont="1" applyBorder="1" applyAlignment="1">
      <alignment horizontal="left" vertical="center"/>
    </xf>
    <xf numFmtId="0" fontId="1" fillId="0" borderId="10" xfId="0" applyFont="1" applyBorder="1" applyAlignment="1">
      <alignment horizontal="left" vertical="center"/>
    </xf>
    <xf numFmtId="0" fontId="34" fillId="18" borderId="19" xfId="0" applyFont="1" applyFill="1" applyBorder="1" applyAlignment="1">
      <alignment horizontal="center" vertical="center" wrapText="1"/>
    </xf>
    <xf numFmtId="0" fontId="14" fillId="11" borderId="22" xfId="0" applyFont="1" applyFill="1" applyBorder="1" applyAlignment="1"/>
    <xf numFmtId="0" fontId="49" fillId="19" borderId="34" xfId="0" applyFont="1" applyFill="1" applyBorder="1" applyAlignment="1">
      <alignment horizontal="left" vertical="center"/>
    </xf>
    <xf numFmtId="0" fontId="34" fillId="18" borderId="24" xfId="0" applyFont="1" applyFill="1" applyBorder="1" applyAlignment="1">
      <alignment horizontal="center" vertical="center" wrapText="1"/>
    </xf>
    <xf numFmtId="0" fontId="49" fillId="19" borderId="49" xfId="0" applyFont="1" applyFill="1" applyBorder="1" applyAlignment="1">
      <alignment horizontal="left" vertical="center"/>
    </xf>
    <xf numFmtId="0" fontId="49" fillId="19" borderId="63" xfId="0" applyFont="1" applyFill="1" applyBorder="1" applyAlignment="1">
      <alignment horizontal="left" vertical="center"/>
    </xf>
    <xf numFmtId="0" fontId="49" fillId="19" borderId="60" xfId="0" applyFont="1" applyFill="1" applyBorder="1" applyAlignment="1">
      <alignment horizontal="left" vertical="center"/>
    </xf>
    <xf numFmtId="0" fontId="1" fillId="0" borderId="49" xfId="0" applyFont="1" applyBorder="1" applyAlignment="1">
      <alignment horizontal="left" vertical="center"/>
    </xf>
    <xf numFmtId="0" fontId="0" fillId="0" borderId="18" xfId="0" applyFont="1" applyBorder="1" applyAlignment="1">
      <alignment horizontal="left" vertical="center"/>
    </xf>
    <xf numFmtId="0" fontId="12" fillId="18" borderId="19" xfId="0" applyFont="1" applyFill="1" applyBorder="1" applyAlignment="1">
      <alignment horizontal="center" vertical="center" textRotation="90" wrapText="1"/>
    </xf>
    <xf numFmtId="0" fontId="56" fillId="11" borderId="21" xfId="0" applyFont="1" applyFill="1" applyBorder="1" applyAlignment="1">
      <alignment vertical="center" textRotation="90"/>
    </xf>
    <xf numFmtId="0" fontId="56" fillId="11" borderId="22" xfId="0" applyFont="1" applyFill="1" applyBorder="1" applyAlignment="1">
      <alignment vertical="center" textRotation="90"/>
    </xf>
    <xf numFmtId="0" fontId="56" fillId="11" borderId="23" xfId="0" applyFont="1" applyFill="1" applyBorder="1" applyAlignment="1">
      <alignment vertical="center" textRotation="90"/>
    </xf>
    <xf numFmtId="0" fontId="56" fillId="11" borderId="24" xfId="0" applyFont="1" applyFill="1" applyBorder="1" applyAlignment="1">
      <alignment vertical="center" textRotation="90"/>
    </xf>
    <xf numFmtId="0" fontId="56" fillId="11" borderId="26" xfId="0" applyFont="1" applyFill="1" applyBorder="1" applyAlignment="1">
      <alignment vertical="center" textRotation="90"/>
    </xf>
    <xf numFmtId="0" fontId="3" fillId="18" borderId="38" xfId="0" applyFont="1" applyFill="1" applyBorder="1" applyAlignment="1">
      <alignment horizontal="center" vertical="center"/>
    </xf>
    <xf numFmtId="0" fontId="0" fillId="11" borderId="39" xfId="0" applyFill="1" applyBorder="1" applyAlignment="1">
      <alignment vertical="center"/>
    </xf>
    <xf numFmtId="0" fontId="3" fillId="18" borderId="19" xfId="0" applyFont="1" applyFill="1" applyBorder="1" applyAlignment="1">
      <alignment horizontal="center" vertical="center" textRotation="90" wrapText="1"/>
    </xf>
    <xf numFmtId="0" fontId="3" fillId="18" borderId="21" xfId="0" applyFont="1" applyFill="1" applyBorder="1" applyAlignment="1">
      <alignment horizontal="center" vertical="center" textRotation="90"/>
    </xf>
    <xf numFmtId="0" fontId="3" fillId="18" borderId="22" xfId="0" applyFont="1" applyFill="1" applyBorder="1" applyAlignment="1">
      <alignment horizontal="center" vertical="center" textRotation="90"/>
    </xf>
    <xf numFmtId="0" fontId="3" fillId="18" borderId="23" xfId="0" applyFont="1" applyFill="1" applyBorder="1" applyAlignment="1">
      <alignment horizontal="center" vertical="center" textRotation="90"/>
    </xf>
    <xf numFmtId="0" fontId="3" fillId="11" borderId="48" xfId="0" applyFont="1" applyFill="1" applyBorder="1" applyAlignment="1">
      <alignment horizontal="right" vertical="center"/>
    </xf>
    <xf numFmtId="0" fontId="3" fillId="11" borderId="76" xfId="0" applyFont="1" applyFill="1" applyBorder="1" applyAlignment="1">
      <alignment horizontal="right" vertical="center"/>
    </xf>
    <xf numFmtId="0" fontId="0" fillId="0" borderId="63" xfId="0" applyFont="1" applyBorder="1" applyAlignment="1">
      <alignment horizontal="left" vertical="center"/>
    </xf>
    <xf numFmtId="0" fontId="0" fillId="0" borderId="60" xfId="0" applyFont="1" applyBorder="1" applyAlignment="1">
      <alignment horizontal="left" vertical="center"/>
    </xf>
    <xf numFmtId="0" fontId="14" fillId="0" borderId="82" xfId="0" applyFont="1" applyBorder="1" applyAlignment="1">
      <alignment horizontal="left" vertical="center"/>
    </xf>
    <xf numFmtId="0" fontId="14" fillId="0" borderId="63" xfId="0" applyFont="1" applyBorder="1" applyAlignment="1">
      <alignment horizontal="left" vertical="center"/>
    </xf>
    <xf numFmtId="0" fontId="14" fillId="0" borderId="60" xfId="0" applyFont="1" applyBorder="1" applyAlignment="1">
      <alignment horizontal="left" vertical="center"/>
    </xf>
    <xf numFmtId="0" fontId="3" fillId="11" borderId="83" xfId="0" applyFont="1" applyFill="1" applyBorder="1" applyAlignment="1">
      <alignment horizontal="right" vertical="center"/>
    </xf>
    <xf numFmtId="0" fontId="3" fillId="11" borderId="66" xfId="0" applyFont="1" applyFill="1" applyBorder="1" applyAlignment="1">
      <alignment horizontal="right" vertical="center"/>
    </xf>
    <xf numFmtId="0" fontId="22" fillId="18" borderId="61" xfId="0" applyFont="1" applyFill="1" applyBorder="1" applyAlignment="1">
      <alignment horizontal="center" vertical="center"/>
    </xf>
    <xf numFmtId="0" fontId="22" fillId="18" borderId="62" xfId="0" applyFont="1" applyFill="1" applyBorder="1" applyAlignment="1">
      <alignment horizontal="center" vertical="center"/>
    </xf>
    <xf numFmtId="0" fontId="22" fillId="18" borderId="92" xfId="0" applyFont="1" applyFill="1" applyBorder="1" applyAlignment="1">
      <alignment horizontal="center" vertical="center"/>
    </xf>
    <xf numFmtId="0" fontId="3" fillId="18" borderId="71" xfId="0" applyFont="1" applyFill="1" applyBorder="1" applyAlignment="1">
      <alignment horizontal="center" vertical="center" wrapText="1"/>
    </xf>
    <xf numFmtId="0" fontId="3" fillId="18" borderId="72" xfId="0" applyFont="1" applyFill="1" applyBorder="1" applyAlignment="1">
      <alignment horizontal="center" vertical="center" wrapText="1"/>
    </xf>
    <xf numFmtId="0" fontId="3" fillId="0" borderId="35" xfId="0" applyFont="1" applyBorder="1" applyAlignment="1">
      <alignment horizontal="left" vertical="center"/>
    </xf>
    <xf numFmtId="0" fontId="3" fillId="0" borderId="18" xfId="0" applyFont="1" applyBorder="1" applyAlignment="1">
      <alignment horizontal="left" vertical="center"/>
    </xf>
    <xf numFmtId="0" fontId="2" fillId="18" borderId="27" xfId="0" applyFont="1" applyFill="1" applyBorder="1" applyAlignment="1">
      <alignment horizontal="center" vertical="center" wrapText="1"/>
    </xf>
    <xf numFmtId="0" fontId="2" fillId="18" borderId="9" xfId="0" applyFont="1" applyFill="1" applyBorder="1" applyAlignment="1">
      <alignment horizontal="center" vertical="center" wrapText="1"/>
    </xf>
    <xf numFmtId="0" fontId="2" fillId="18" borderId="72" xfId="0" applyFont="1" applyFill="1" applyBorder="1" applyAlignment="1">
      <alignment horizontal="center" vertical="center" wrapText="1"/>
    </xf>
    <xf numFmtId="0" fontId="7" fillId="11" borderId="74" xfId="0" applyFont="1" applyFill="1" applyBorder="1" applyAlignment="1">
      <alignment horizontal="center" vertical="center" textRotation="90"/>
    </xf>
    <xf numFmtId="0" fontId="7" fillId="11" borderId="12" xfId="0" applyFont="1" applyFill="1" applyBorder="1" applyAlignment="1">
      <alignment horizontal="center" vertical="center" textRotation="90"/>
    </xf>
    <xf numFmtId="0" fontId="0" fillId="0" borderId="35" xfId="0" applyFont="1" applyBorder="1" applyAlignment="1">
      <alignment vertical="center"/>
    </xf>
    <xf numFmtId="0" fontId="0" fillId="0" borderId="18" xfId="0" applyFont="1" applyBorder="1" applyAlignment="1">
      <alignment vertical="center"/>
    </xf>
    <xf numFmtId="0" fontId="3" fillId="18" borderId="19" xfId="0" applyFont="1" applyFill="1" applyBorder="1" applyAlignment="1">
      <alignment horizontal="center" vertical="center" wrapText="1"/>
    </xf>
    <xf numFmtId="0" fontId="0" fillId="11" borderId="21" xfId="0" applyFill="1" applyBorder="1" applyAlignment="1">
      <alignment vertical="center"/>
    </xf>
    <xf numFmtId="0" fontId="0" fillId="11" borderId="22" xfId="0" applyFill="1" applyBorder="1" applyAlignment="1">
      <alignment vertical="center"/>
    </xf>
    <xf numFmtId="0" fontId="0" fillId="11" borderId="23" xfId="0" applyFill="1" applyBorder="1" applyAlignment="1">
      <alignment vertical="center"/>
    </xf>
    <xf numFmtId="0" fontId="0" fillId="11" borderId="24" xfId="0" applyFill="1" applyBorder="1" applyAlignment="1">
      <alignment vertical="center"/>
    </xf>
    <xf numFmtId="0" fontId="0" fillId="11" borderId="26" xfId="0" applyFill="1" applyBorder="1" applyAlignment="1">
      <alignment vertical="center"/>
    </xf>
    <xf numFmtId="0" fontId="3" fillId="18" borderId="27"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86" xfId="0" applyFont="1" applyFill="1" applyBorder="1" applyAlignment="1">
      <alignment horizontal="center" vertical="center" wrapText="1"/>
    </xf>
    <xf numFmtId="0" fontId="3" fillId="18" borderId="87" xfId="0" applyFont="1" applyFill="1" applyBorder="1" applyAlignment="1">
      <alignment horizontal="center" vertical="center" wrapText="1"/>
    </xf>
    <xf numFmtId="0" fontId="44" fillId="18" borderId="19" xfId="0" applyFont="1" applyFill="1" applyBorder="1" applyAlignment="1">
      <alignment horizontal="center" vertical="center" wrapText="1"/>
    </xf>
    <xf numFmtId="0" fontId="44" fillId="18" borderId="21" xfId="0" applyFont="1" applyFill="1" applyBorder="1" applyAlignment="1">
      <alignment horizontal="center" vertical="center" wrapText="1"/>
    </xf>
    <xf numFmtId="0" fontId="0" fillId="0" borderId="34" xfId="0" applyFont="1" applyBorder="1" applyAlignment="1">
      <alignment horizontal="left" vertical="center"/>
    </xf>
    <xf numFmtId="0" fontId="14" fillId="0" borderId="64" xfId="0" applyFont="1" applyBorder="1" applyAlignment="1">
      <alignment horizontal="left" vertical="center"/>
    </xf>
    <xf numFmtId="0" fontId="3" fillId="11" borderId="9" xfId="0" applyFont="1" applyFill="1" applyBorder="1" applyAlignment="1">
      <alignment horizontal="right" vertical="center"/>
    </xf>
    <xf numFmtId="0" fontId="3" fillId="11" borderId="72" xfId="0" applyFont="1" applyFill="1" applyBorder="1" applyAlignment="1">
      <alignment horizontal="right" vertical="center"/>
    </xf>
    <xf numFmtId="0" fontId="5" fillId="19" borderId="82" xfId="0" applyFont="1" applyFill="1" applyBorder="1" applyAlignment="1">
      <alignment horizontal="left" vertical="center"/>
    </xf>
    <xf numFmtId="0" fontId="5" fillId="19" borderId="35" xfId="0" applyFont="1" applyFill="1" applyBorder="1" applyAlignment="1">
      <alignment horizontal="left" vertical="center"/>
    </xf>
    <xf numFmtId="0" fontId="14" fillId="0" borderId="51" xfId="0" applyFont="1" applyBorder="1" applyAlignment="1">
      <alignment horizontal="left" vertical="center"/>
    </xf>
    <xf numFmtId="0" fontId="14" fillId="0" borderId="83" xfId="0" applyFont="1" applyBorder="1" applyAlignment="1">
      <alignment horizontal="left" vertical="center"/>
    </xf>
    <xf numFmtId="0" fontId="14" fillId="0" borderId="66" xfId="0" applyFont="1" applyBorder="1" applyAlignment="1">
      <alignment horizontal="left" vertical="center"/>
    </xf>
    <xf numFmtId="0" fontId="3" fillId="18" borderId="19" xfId="0" applyFont="1" applyFill="1" applyBorder="1" applyAlignment="1">
      <alignment horizontal="center" vertical="center" textRotation="90"/>
    </xf>
    <xf numFmtId="0" fontId="3" fillId="18" borderId="24" xfId="0" applyFont="1" applyFill="1" applyBorder="1" applyAlignment="1">
      <alignment horizontal="center" vertical="center" textRotation="90"/>
    </xf>
    <xf numFmtId="0" fontId="3" fillId="18" borderId="26" xfId="0" applyFont="1" applyFill="1" applyBorder="1" applyAlignment="1">
      <alignment horizontal="center" vertical="center" textRotation="90"/>
    </xf>
    <xf numFmtId="0" fontId="11" fillId="11" borderId="88" xfId="0" applyFont="1" applyFill="1" applyBorder="1" applyAlignment="1">
      <alignment horizontal="center" vertical="center" textRotation="90" wrapText="1"/>
    </xf>
    <xf numFmtId="0" fontId="11" fillId="11" borderId="69" xfId="0" applyFont="1" applyFill="1" applyBorder="1" applyAlignment="1">
      <alignment horizontal="center" vertical="center" textRotation="90"/>
    </xf>
    <xf numFmtId="0" fontId="3" fillId="18" borderId="55" xfId="0" applyFont="1" applyFill="1" applyBorder="1" applyAlignment="1">
      <alignment horizontal="center" vertical="center" wrapText="1"/>
    </xf>
    <xf numFmtId="0" fontId="0" fillId="11" borderId="56" xfId="0" applyFill="1" applyBorder="1" applyAlignment="1"/>
    <xf numFmtId="0" fontId="0" fillId="0" borderId="49" xfId="0" applyFont="1" applyBorder="1" applyAlignment="1">
      <alignment horizontal="left" vertical="center"/>
    </xf>
    <xf numFmtId="0" fontId="2" fillId="18" borderId="22" xfId="0" applyFont="1" applyFill="1" applyBorder="1" applyAlignment="1">
      <alignment horizontal="center" vertical="center"/>
    </xf>
    <xf numFmtId="0" fontId="2" fillId="18" borderId="38" xfId="0" applyFont="1" applyFill="1" applyBorder="1" applyAlignment="1">
      <alignment horizontal="center" vertical="center"/>
    </xf>
    <xf numFmtId="0" fontId="57" fillId="18" borderId="25" xfId="0" applyFont="1" applyFill="1" applyBorder="1" applyAlignment="1">
      <alignment horizontal="center" vertical="center" wrapText="1"/>
    </xf>
    <xf numFmtId="0" fontId="3" fillId="9" borderId="68" xfId="0" applyFont="1" applyFill="1" applyBorder="1" applyAlignment="1">
      <alignment horizontal="left" vertical="center"/>
    </xf>
    <xf numFmtId="0" fontId="3" fillId="9" borderId="83" xfId="0" applyFont="1" applyFill="1" applyBorder="1" applyAlignment="1">
      <alignment horizontal="left" vertical="center"/>
    </xf>
    <xf numFmtId="0" fontId="3" fillId="10" borderId="88" xfId="0" applyFont="1" applyFill="1" applyBorder="1" applyAlignment="1">
      <alignment horizontal="left" vertical="center"/>
    </xf>
    <xf numFmtId="0" fontId="3" fillId="10" borderId="48" xfId="0" applyFont="1" applyFill="1" applyBorder="1" applyAlignment="1">
      <alignment horizontal="left" vertical="center"/>
    </xf>
    <xf numFmtId="0" fontId="0" fillId="11" borderId="57" xfId="0" applyFill="1" applyBorder="1"/>
    <xf numFmtId="0" fontId="0" fillId="0" borderId="94" xfId="0" applyFont="1" applyBorder="1" applyAlignment="1">
      <alignment horizontal="left" vertical="center"/>
    </xf>
    <xf numFmtId="0" fontId="0" fillId="0" borderId="85" xfId="0" applyFont="1" applyBorder="1" applyAlignment="1">
      <alignment horizontal="left" vertical="center"/>
    </xf>
    <xf numFmtId="0" fontId="0" fillId="0" borderId="83" xfId="0" applyFont="1" applyBorder="1" applyAlignment="1">
      <alignment horizontal="left" vertical="center"/>
    </xf>
    <xf numFmtId="0" fontId="0" fillId="0" borderId="66" xfId="0" applyFont="1" applyBorder="1" applyAlignment="1">
      <alignment horizontal="left" vertical="center"/>
    </xf>
    <xf numFmtId="0" fontId="2" fillId="18" borderId="20" xfId="0" applyFont="1" applyFill="1" applyBorder="1" applyAlignment="1">
      <alignment horizontal="center" vertical="center"/>
    </xf>
    <xf numFmtId="0" fontId="2" fillId="18" borderId="21" xfId="0" applyFont="1" applyFill="1" applyBorder="1" applyAlignment="1">
      <alignment horizontal="center" vertical="center"/>
    </xf>
    <xf numFmtId="0" fontId="57" fillId="18" borderId="25" xfId="0" applyFont="1" applyFill="1" applyBorder="1" applyAlignment="1">
      <alignment horizontal="center" vertical="center"/>
    </xf>
    <xf numFmtId="0" fontId="2" fillId="18" borderId="18" xfId="0" applyFont="1" applyFill="1" applyBorder="1" applyAlignment="1">
      <alignment horizontal="center" vertical="center"/>
    </xf>
    <xf numFmtId="0" fontId="0" fillId="0" borderId="31" xfId="0" applyFont="1" applyBorder="1" applyAlignment="1">
      <alignment horizontal="left" vertical="center"/>
    </xf>
    <xf numFmtId="0" fontId="3" fillId="9" borderId="27" xfId="0" applyFont="1" applyFill="1" applyBorder="1" applyAlignment="1">
      <alignment horizontal="left" vertical="center"/>
    </xf>
    <xf numFmtId="0" fontId="3" fillId="9" borderId="9" xfId="0" applyFont="1" applyFill="1" applyBorder="1" applyAlignment="1">
      <alignment horizontal="left" vertical="center"/>
    </xf>
    <xf numFmtId="0" fontId="14" fillId="0" borderId="35"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3" xfId="0" applyFont="1" applyBorder="1" applyAlignment="1">
      <alignment horizontal="left" vertical="center"/>
    </xf>
    <xf numFmtId="0" fontId="2" fillId="18" borderId="25" xfId="0" applyFont="1" applyFill="1" applyBorder="1" applyAlignment="1">
      <alignment horizontal="center" vertical="center"/>
    </xf>
    <xf numFmtId="0" fontId="14" fillId="0" borderId="34" xfId="0" quotePrefix="1" applyFont="1" applyFill="1" applyBorder="1" applyAlignment="1">
      <alignment horizontal="left" vertical="center"/>
    </xf>
    <xf numFmtId="0" fontId="14" fillId="0" borderId="82" xfId="0" quotePrefix="1" applyFont="1" applyFill="1" applyBorder="1" applyAlignment="1">
      <alignment horizontal="left" vertical="center"/>
    </xf>
    <xf numFmtId="0" fontId="14" fillId="0" borderId="35" xfId="0" quotePrefix="1" applyFont="1" applyFill="1" applyBorder="1" applyAlignment="1">
      <alignment horizontal="left" vertical="center"/>
    </xf>
    <xf numFmtId="0" fontId="3" fillId="10" borderId="27" xfId="0" applyFont="1" applyFill="1" applyBorder="1" applyAlignment="1">
      <alignment horizontal="left" vertical="center"/>
    </xf>
    <xf numFmtId="0" fontId="3" fillId="10" borderId="9" xfId="0" applyFont="1" applyFill="1" applyBorder="1" applyAlignment="1">
      <alignment horizontal="left" vertical="center"/>
    </xf>
    <xf numFmtId="0" fontId="3" fillId="11" borderId="34" xfId="0" applyFont="1" applyFill="1" applyBorder="1" applyAlignment="1">
      <alignment horizontal="center" vertical="center"/>
    </xf>
    <xf numFmtId="0" fontId="3" fillId="11" borderId="73" xfId="0" applyFont="1" applyFill="1" applyBorder="1" applyAlignment="1">
      <alignment horizontal="center" vertical="center"/>
    </xf>
    <xf numFmtId="0" fontId="14" fillId="0" borderId="38" xfId="0" quotePrefix="1" applyFont="1" applyFill="1" applyBorder="1" applyAlignment="1">
      <alignment horizontal="center" vertical="center"/>
    </xf>
    <xf numFmtId="0" fontId="14" fillId="0" borderId="52" xfId="0" quotePrefix="1" applyFont="1" applyFill="1" applyBorder="1" applyAlignment="1">
      <alignment horizontal="center" vertical="center"/>
    </xf>
    <xf numFmtId="0" fontId="14" fillId="0" borderId="58" xfId="0" quotePrefix="1" applyFont="1" applyFill="1" applyBorder="1" applyAlignment="1">
      <alignment horizontal="center" vertical="center"/>
    </xf>
    <xf numFmtId="0" fontId="14" fillId="0" borderId="42" xfId="0" applyFont="1" applyFill="1" applyBorder="1" applyAlignment="1">
      <alignment horizontal="left" vertical="center"/>
    </xf>
    <xf numFmtId="0" fontId="14" fillId="0" borderId="93"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94" xfId="0" applyFont="1" applyFill="1" applyBorder="1" applyAlignment="1">
      <alignment horizontal="left" vertical="center"/>
    </xf>
    <xf numFmtId="0" fontId="14" fillId="0" borderId="85" xfId="0" applyFont="1" applyFill="1" applyBorder="1" applyAlignment="1">
      <alignment horizontal="left" vertical="center"/>
    </xf>
    <xf numFmtId="0" fontId="14" fillId="0" borderId="34" xfId="0" applyFont="1" applyFill="1" applyBorder="1" applyAlignment="1">
      <alignment horizontal="left" vertical="center"/>
    </xf>
    <xf numFmtId="0" fontId="14" fillId="0" borderId="82" xfId="0" applyFont="1" applyFill="1" applyBorder="1" applyAlignment="1">
      <alignment horizontal="left" vertical="center"/>
    </xf>
    <xf numFmtId="0" fontId="14" fillId="0" borderId="35" xfId="0" applyFont="1" applyFill="1" applyBorder="1" applyAlignment="1">
      <alignment horizontal="left" vertical="center"/>
    </xf>
    <xf numFmtId="0" fontId="14" fillId="0" borderId="31"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22" xfId="0" quotePrefix="1" applyFont="1" applyFill="1" applyBorder="1" applyAlignment="1">
      <alignment horizontal="center" vertical="center"/>
    </xf>
    <xf numFmtId="0" fontId="3" fillId="18" borderId="55" xfId="0" applyFont="1" applyFill="1" applyBorder="1" applyAlignment="1">
      <alignment horizontal="center" vertical="center"/>
    </xf>
    <xf numFmtId="0" fontId="3" fillId="18" borderId="12" xfId="0" applyFont="1" applyFill="1" applyBorder="1" applyAlignment="1">
      <alignment horizontal="center" vertical="center"/>
    </xf>
    <xf numFmtId="0" fontId="3" fillId="9" borderId="22" xfId="0" applyFont="1" applyFill="1" applyBorder="1" applyAlignment="1">
      <alignment horizontal="right" vertical="center"/>
    </xf>
    <xf numFmtId="0" fontId="3" fillId="9" borderId="35" xfId="0" applyFont="1" applyFill="1" applyBorder="1" applyAlignment="1">
      <alignment horizontal="right" vertical="center"/>
    </xf>
    <xf numFmtId="0" fontId="0" fillId="11" borderId="18" xfId="0" applyFill="1" applyBorder="1"/>
    <xf numFmtId="0" fontId="14" fillId="0" borderId="68" xfId="0" applyFont="1" applyFill="1" applyBorder="1" applyAlignment="1">
      <alignment horizontal="left"/>
    </xf>
    <xf numFmtId="0" fontId="14" fillId="0" borderId="83" xfId="0" applyFont="1" applyFill="1" applyBorder="1" applyAlignment="1">
      <alignment horizontal="left"/>
    </xf>
    <xf numFmtId="0" fontId="14" fillId="0" borderId="66" xfId="0" applyFont="1" applyFill="1" applyBorder="1" applyAlignment="1">
      <alignment horizontal="left"/>
    </xf>
    <xf numFmtId="0" fontId="14" fillId="0" borderId="49" xfId="0" applyFont="1" applyFill="1" applyBorder="1" applyAlignment="1">
      <alignment horizontal="left" vertical="center"/>
    </xf>
    <xf numFmtId="0" fontId="14" fillId="0" borderId="63" xfId="0" applyFont="1" applyFill="1" applyBorder="1" applyAlignment="1">
      <alignment horizontal="left" vertical="center"/>
    </xf>
    <xf numFmtId="0" fontId="14" fillId="0" borderId="60" xfId="0" applyFont="1" applyFill="1" applyBorder="1" applyAlignment="1">
      <alignment horizontal="left" vertical="center"/>
    </xf>
    <xf numFmtId="0" fontId="14" fillId="0" borderId="34" xfId="0" applyFont="1" applyFill="1" applyBorder="1" applyAlignment="1">
      <alignment horizontal="left" vertical="center" wrapText="1"/>
    </xf>
    <xf numFmtId="0" fontId="14" fillId="0" borderId="82"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21" fillId="18" borderId="40" xfId="0" applyFont="1" applyFill="1" applyBorder="1" applyAlignment="1">
      <alignment horizontal="center" vertical="center"/>
    </xf>
    <xf numFmtId="0" fontId="21" fillId="18" borderId="70" xfId="0" applyFont="1" applyFill="1" applyBorder="1" applyAlignment="1">
      <alignment horizontal="center" vertical="center"/>
    </xf>
    <xf numFmtId="0" fontId="21" fillId="18" borderId="41" xfId="0" applyFont="1" applyFill="1" applyBorder="1" applyAlignment="1">
      <alignment horizontal="center" vertical="center"/>
    </xf>
    <xf numFmtId="0" fontId="3" fillId="10" borderId="61" xfId="0" applyFont="1" applyFill="1" applyBorder="1" applyAlignment="1">
      <alignment horizontal="left" vertical="center"/>
    </xf>
    <xf numFmtId="0" fontId="3" fillId="10" borderId="76" xfId="0" applyFont="1" applyFill="1" applyBorder="1" applyAlignment="1">
      <alignment horizontal="left" vertical="center"/>
    </xf>
    <xf numFmtId="0" fontId="0" fillId="11" borderId="70" xfId="0" applyFill="1" applyBorder="1"/>
    <xf numFmtId="0" fontId="3" fillId="18" borderId="55" xfId="0" applyFont="1" applyFill="1" applyBorder="1" applyAlignment="1">
      <alignment horizontal="center" vertical="center" textRotation="90" wrapText="1"/>
    </xf>
    <xf numFmtId="0" fontId="3" fillId="9" borderId="38" xfId="0" applyFont="1" applyFill="1" applyBorder="1" applyAlignment="1">
      <alignment horizontal="right" vertical="center"/>
    </xf>
    <xf numFmtId="0" fontId="3" fillId="9" borderId="43" xfId="0" applyFont="1" applyFill="1" applyBorder="1" applyAlignment="1">
      <alignment horizontal="right" vertical="center"/>
    </xf>
    <xf numFmtId="0" fontId="0" fillId="11" borderId="31" xfId="0" applyFill="1" applyBorder="1"/>
    <xf numFmtId="0" fontId="3" fillId="18" borderId="59" xfId="0" applyFont="1" applyFill="1" applyBorder="1" applyAlignment="1">
      <alignment horizontal="center" vertical="center" textRotation="90" wrapText="1"/>
    </xf>
    <xf numFmtId="0" fontId="0" fillId="11" borderId="57" xfId="0" applyFill="1" applyBorder="1" applyAlignment="1"/>
    <xf numFmtId="0" fontId="2" fillId="18" borderId="23" xfId="0" applyFont="1" applyFill="1" applyBorder="1" applyAlignment="1">
      <alignment horizontal="center" vertical="center"/>
    </xf>
    <xf numFmtId="0" fontId="2" fillId="18" borderId="26" xfId="0" applyFont="1" applyFill="1" applyBorder="1" applyAlignment="1">
      <alignment horizontal="center" vertical="center"/>
    </xf>
    <xf numFmtId="0" fontId="3" fillId="0" borderId="64" xfId="0" applyFont="1" applyBorder="1" applyAlignment="1">
      <alignment horizontal="left" vertical="center"/>
    </xf>
    <xf numFmtId="0" fontId="3" fillId="0" borderId="63" xfId="0" applyFont="1" applyBorder="1" applyAlignment="1">
      <alignment horizontal="left" vertical="center"/>
    </xf>
    <xf numFmtId="0" fontId="3" fillId="0" borderId="67" xfId="0" applyFont="1" applyBorder="1" applyAlignment="1">
      <alignment horizontal="left" vertical="center"/>
    </xf>
    <xf numFmtId="0" fontId="3" fillId="0" borderId="82" xfId="0" applyFont="1" applyBorder="1" applyAlignment="1">
      <alignment horizontal="left" vertical="center"/>
    </xf>
    <xf numFmtId="0" fontId="2" fillId="18" borderId="20" xfId="0" applyFont="1" applyFill="1" applyBorder="1" applyAlignment="1">
      <alignment horizontal="center" vertical="center" wrapText="1"/>
    </xf>
    <xf numFmtId="0" fontId="14" fillId="0" borderId="17" xfId="0" applyFont="1" applyBorder="1" applyAlignment="1">
      <alignment horizontal="left" vertical="center"/>
    </xf>
    <xf numFmtId="0" fontId="23" fillId="11" borderId="68" xfId="0" applyFont="1" applyFill="1" applyBorder="1" applyAlignment="1">
      <alignment horizontal="center" vertical="center" wrapText="1"/>
    </xf>
    <xf numFmtId="0" fontId="23" fillId="11" borderId="66" xfId="0" applyFont="1" applyFill="1" applyBorder="1" applyAlignment="1">
      <alignment horizontal="center" vertical="center" wrapText="1"/>
    </xf>
    <xf numFmtId="0" fontId="23" fillId="11" borderId="31" xfId="0" applyFont="1" applyFill="1" applyBorder="1" applyAlignment="1">
      <alignment horizontal="center" vertical="center" wrapText="1"/>
    </xf>
    <xf numFmtId="0" fontId="23" fillId="11" borderId="51" xfId="0" applyFont="1" applyFill="1" applyBorder="1" applyAlignment="1">
      <alignment horizontal="center" vertical="center" wrapText="1"/>
    </xf>
    <xf numFmtId="0" fontId="45" fillId="0" borderId="61" xfId="0" applyFont="1" applyBorder="1" applyAlignment="1">
      <alignment horizontal="right" vertical="center"/>
    </xf>
    <xf numFmtId="0" fontId="46" fillId="0" borderId="62" xfId="0" applyFont="1" applyBorder="1" applyAlignment="1">
      <alignment vertical="center"/>
    </xf>
    <xf numFmtId="0" fontId="46" fillId="0" borderId="92" xfId="0" applyFont="1" applyBorder="1" applyAlignment="1">
      <alignment vertical="center"/>
    </xf>
    <xf numFmtId="0" fontId="38" fillId="0" borderId="18" xfId="0" applyFont="1" applyBorder="1" applyAlignment="1">
      <alignment vertical="center"/>
    </xf>
    <xf numFmtId="0" fontId="38" fillId="0" borderId="23" xfId="0" applyFont="1" applyBorder="1" applyAlignment="1">
      <alignment vertical="center"/>
    </xf>
    <xf numFmtId="0" fontId="23" fillId="11" borderId="19" xfId="0" applyFont="1" applyFill="1" applyBorder="1" applyAlignment="1">
      <alignment horizontal="center" vertical="center" textRotation="90"/>
    </xf>
    <xf numFmtId="0" fontId="23" fillId="11" borderId="22" xfId="0" applyFont="1" applyFill="1" applyBorder="1" applyAlignment="1">
      <alignment horizontal="center" vertical="center" textRotation="90"/>
    </xf>
    <xf numFmtId="0" fontId="23" fillId="11" borderId="24" xfId="0" applyFont="1" applyFill="1" applyBorder="1" applyAlignment="1">
      <alignment horizontal="center" vertical="center" textRotation="90"/>
    </xf>
    <xf numFmtId="0" fontId="38" fillId="0" borderId="20" xfId="0" applyFont="1" applyBorder="1" applyAlignment="1">
      <alignment vertical="center"/>
    </xf>
    <xf numFmtId="0" fontId="38" fillId="0" borderId="21" xfId="0" applyFont="1" applyBorder="1" applyAlignment="1">
      <alignment vertical="center"/>
    </xf>
    <xf numFmtId="0" fontId="45" fillId="0" borderId="25" xfId="0" applyFont="1" applyBorder="1" applyAlignment="1">
      <alignment horizontal="right" vertical="center"/>
    </xf>
    <xf numFmtId="0" fontId="46" fillId="0" borderId="25" xfId="0" applyFont="1" applyBorder="1" applyAlignment="1">
      <alignment horizontal="right" vertical="center"/>
    </xf>
    <xf numFmtId="0" fontId="46" fillId="0" borderId="26" xfId="0" applyFont="1" applyBorder="1" applyAlignment="1">
      <alignment horizontal="right" vertical="center"/>
    </xf>
    <xf numFmtId="0" fontId="0" fillId="0" borderId="51" xfId="0" applyBorder="1" applyAlignment="1">
      <alignment horizontal="center"/>
    </xf>
    <xf numFmtId="0" fontId="0" fillId="0" borderId="83" xfId="0" applyBorder="1" applyAlignment="1">
      <alignment horizontal="center"/>
    </xf>
    <xf numFmtId="0" fontId="0" fillId="0" borderId="66" xfId="0" applyBorder="1" applyAlignment="1">
      <alignment horizontal="center"/>
    </xf>
    <xf numFmtId="0" fontId="38" fillId="0" borderId="18" xfId="0" applyFont="1" applyBorder="1" applyAlignment="1">
      <alignment horizontal="center" vertical="center"/>
    </xf>
    <xf numFmtId="0" fontId="38" fillId="0" borderId="49" xfId="0" applyFont="1" applyBorder="1" applyAlignment="1">
      <alignment horizontal="left" vertical="center"/>
    </xf>
    <xf numFmtId="0" fontId="38" fillId="0" borderId="63" xfId="0" applyFont="1" applyBorder="1" applyAlignment="1">
      <alignment horizontal="left" vertical="center"/>
    </xf>
    <xf numFmtId="0" fontId="38" fillId="0" borderId="51" xfId="0" applyFont="1" applyBorder="1" applyAlignment="1">
      <alignment horizontal="left" vertical="center"/>
    </xf>
    <xf numFmtId="0" fontId="38" fillId="0" borderId="83" xfId="0" applyFont="1" applyBorder="1" applyAlignment="1">
      <alignment horizontal="left" vertical="center"/>
    </xf>
    <xf numFmtId="0" fontId="38" fillId="0" borderId="18" xfId="0" applyFont="1" applyBorder="1" applyAlignment="1">
      <alignment horizontal="left" vertical="center"/>
    </xf>
    <xf numFmtId="0" fontId="38" fillId="0" borderId="23" xfId="0" applyFont="1" applyBorder="1" applyAlignment="1">
      <alignment horizontal="left" vertical="center"/>
    </xf>
    <xf numFmtId="0" fontId="38" fillId="0" borderId="18" xfId="0" applyFont="1" applyBorder="1" applyAlignment="1">
      <alignment horizontal="center" vertical="center" wrapText="1"/>
    </xf>
    <xf numFmtId="0" fontId="43" fillId="11" borderId="27" xfId="0" applyFont="1" applyFill="1" applyBorder="1" applyAlignment="1">
      <alignment horizontal="center"/>
    </xf>
    <xf numFmtId="0" fontId="43" fillId="11" borderId="9" xfId="0" applyFont="1" applyFill="1" applyBorder="1" applyAlignment="1">
      <alignment horizontal="center"/>
    </xf>
    <xf numFmtId="0" fontId="43" fillId="11" borderId="10" xfId="0" applyFont="1" applyFill="1" applyBorder="1" applyAlignment="1">
      <alignment horizontal="center"/>
    </xf>
    <xf numFmtId="0" fontId="49" fillId="11" borderId="27" xfId="0" applyFont="1" applyFill="1" applyBorder="1" applyAlignment="1">
      <alignment horizontal="center" vertical="center"/>
    </xf>
    <xf numFmtId="0" fontId="49" fillId="11" borderId="9" xfId="0" applyFont="1" applyFill="1" applyBorder="1" applyAlignment="1">
      <alignment horizontal="center" vertical="center"/>
    </xf>
    <xf numFmtId="0" fontId="28" fillId="11" borderId="88" xfId="0" applyFont="1" applyFill="1" applyBorder="1" applyAlignment="1">
      <alignment horizontal="center" vertical="center"/>
    </xf>
    <xf numFmtId="0" fontId="28" fillId="11" borderId="48" xfId="0" applyFont="1" applyFill="1" applyBorder="1" applyAlignment="1">
      <alignment horizontal="center" vertical="center"/>
    </xf>
    <xf numFmtId="0" fontId="28" fillId="11" borderId="89" xfId="0" applyFont="1" applyFill="1" applyBorder="1" applyAlignment="1">
      <alignment horizontal="center" vertical="center"/>
    </xf>
    <xf numFmtId="0" fontId="28" fillId="11" borderId="6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79" xfId="0" applyFont="1" applyFill="1" applyBorder="1" applyAlignment="1">
      <alignment horizontal="center" vertical="center"/>
    </xf>
    <xf numFmtId="0" fontId="23" fillId="11" borderId="58" xfId="0" applyFont="1" applyFill="1" applyBorder="1" applyAlignment="1">
      <alignment horizontal="center" vertical="center"/>
    </xf>
    <xf numFmtId="0" fontId="23" fillId="11" borderId="33" xfId="0" applyFont="1" applyFill="1" applyBorder="1" applyAlignment="1">
      <alignment horizontal="center" vertical="center"/>
    </xf>
    <xf numFmtId="0" fontId="23" fillId="11" borderId="33" xfId="0" applyFont="1" applyFill="1" applyBorder="1" applyAlignment="1">
      <alignment horizontal="center" vertical="center" wrapText="1"/>
    </xf>
    <xf numFmtId="0" fontId="23" fillId="11" borderId="18" xfId="0" applyFont="1" applyFill="1" applyBorder="1" applyAlignment="1">
      <alignment horizontal="center" vertical="center" wrapText="1"/>
    </xf>
    <xf numFmtId="0" fontId="23" fillId="11" borderId="50" xfId="0" applyFont="1" applyFill="1" applyBorder="1" applyAlignment="1">
      <alignment horizontal="center" vertical="center" wrapText="1"/>
    </xf>
    <xf numFmtId="0" fontId="23" fillId="11" borderId="22" xfId="0" applyFont="1" applyFill="1" applyBorder="1" applyAlignment="1">
      <alignment horizontal="center" vertical="center" wrapText="1"/>
    </xf>
    <xf numFmtId="0" fontId="23" fillId="11" borderId="23" xfId="0" applyFont="1" applyFill="1" applyBorder="1" applyAlignment="1">
      <alignment horizontal="center" vertical="center" wrapText="1"/>
    </xf>
    <xf numFmtId="0" fontId="23" fillId="11" borderId="58" xfId="0" applyFont="1" applyFill="1" applyBorder="1" applyAlignment="1">
      <alignment horizontal="center" vertical="center" wrapText="1"/>
    </xf>
    <xf numFmtId="0" fontId="49" fillId="11" borderId="10" xfId="0" applyFont="1" applyFill="1" applyBorder="1" applyAlignment="1">
      <alignment horizontal="center" vertical="center"/>
    </xf>
    <xf numFmtId="0" fontId="23" fillId="11" borderId="50" xfId="0" applyFont="1" applyFill="1" applyBorder="1" applyAlignment="1">
      <alignment horizontal="center" vertical="center"/>
    </xf>
    <xf numFmtId="0" fontId="23" fillId="11" borderId="48"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38" xfId="0" applyFont="1" applyFill="1" applyBorder="1" applyAlignment="1">
      <alignment horizontal="center" vertical="center"/>
    </xf>
    <xf numFmtId="0" fontId="23" fillId="11" borderId="31" xfId="0" applyFont="1" applyFill="1" applyBorder="1" applyAlignment="1">
      <alignment horizontal="center" vertical="center"/>
    </xf>
    <xf numFmtId="0" fontId="23" fillId="11" borderId="20" xfId="0" applyFont="1" applyFill="1" applyBorder="1" applyAlignment="1">
      <alignment horizontal="center" vertical="center" wrapText="1"/>
    </xf>
    <xf numFmtId="0" fontId="23" fillId="11" borderId="21" xfId="0" applyFont="1" applyFill="1" applyBorder="1" applyAlignment="1">
      <alignment horizontal="center" vertical="center" wrapText="1"/>
    </xf>
    <xf numFmtId="0" fontId="44" fillId="11" borderId="88" xfId="0" applyFont="1" applyFill="1" applyBorder="1" applyAlignment="1">
      <alignment horizontal="center" vertical="center" wrapText="1"/>
    </xf>
    <xf numFmtId="0" fontId="44" fillId="11" borderId="90" xfId="0" applyFont="1" applyFill="1" applyBorder="1" applyAlignment="1">
      <alignment horizontal="center" vertical="center" wrapText="1"/>
    </xf>
    <xf numFmtId="0" fontId="44" fillId="11" borderId="48" xfId="0" applyFont="1" applyFill="1" applyBorder="1" applyAlignment="1">
      <alignment horizontal="center" vertical="center" wrapText="1"/>
    </xf>
    <xf numFmtId="0" fontId="44" fillId="11" borderId="89" xfId="0" applyFont="1" applyFill="1" applyBorder="1" applyAlignment="1">
      <alignment horizontal="center" vertical="center" wrapText="1"/>
    </xf>
    <xf numFmtId="0" fontId="44" fillId="11" borderId="17" xfId="0" applyFont="1" applyFill="1" applyBorder="1" applyAlignment="1">
      <alignment horizontal="center" vertical="center" wrapText="1"/>
    </xf>
    <xf numFmtId="0" fontId="44" fillId="11" borderId="91" xfId="0" applyFont="1" applyFill="1" applyBorder="1" applyAlignment="1">
      <alignment horizontal="center" vertical="center" wrapText="1"/>
    </xf>
    <xf numFmtId="0" fontId="23" fillId="11" borderId="19" xfId="0" applyFont="1" applyFill="1" applyBorder="1" applyAlignment="1">
      <alignment horizontal="center" vertical="center" wrapText="1"/>
    </xf>
    <xf numFmtId="0" fontId="38" fillId="11" borderId="25" xfId="0" applyFont="1" applyFill="1" applyBorder="1" applyAlignment="1">
      <alignment horizontal="center" vertical="center" wrapText="1"/>
    </xf>
    <xf numFmtId="0" fontId="23" fillId="11" borderId="62" xfId="0" applyFont="1" applyFill="1" applyBorder="1" applyAlignment="1">
      <alignment horizontal="center" vertical="center" wrapText="1"/>
    </xf>
    <xf numFmtId="0" fontId="23" fillId="11" borderId="62" xfId="0" applyFont="1" applyFill="1" applyBorder="1" applyAlignment="1">
      <alignment horizontal="center" vertical="center"/>
    </xf>
    <xf numFmtId="164" fontId="23" fillId="11" borderId="62" xfId="1" applyNumberFormat="1" applyFont="1" applyFill="1" applyBorder="1" applyAlignment="1">
      <alignment horizontal="center" vertical="center" wrapText="1"/>
    </xf>
    <xf numFmtId="164" fontId="23" fillId="11" borderId="62" xfId="1" applyNumberFormat="1" applyFont="1" applyFill="1" applyBorder="1" applyAlignment="1">
      <alignment horizontal="center" vertical="center"/>
    </xf>
    <xf numFmtId="0" fontId="23" fillId="11" borderId="61" xfId="0" applyFont="1" applyFill="1" applyBorder="1" applyAlignment="1">
      <alignment horizontal="center" vertical="center" wrapText="1"/>
    </xf>
    <xf numFmtId="0" fontId="53" fillId="11" borderId="88" xfId="0" applyFont="1" applyFill="1" applyBorder="1" applyAlignment="1">
      <alignment horizontal="center" vertical="center" wrapText="1"/>
    </xf>
    <xf numFmtId="0" fontId="53" fillId="11" borderId="48" xfId="0" applyFont="1" applyFill="1" applyBorder="1" applyAlignment="1">
      <alignment horizontal="center" vertical="center" wrapText="1"/>
    </xf>
    <xf numFmtId="0" fontId="53" fillId="11" borderId="76" xfId="0" applyFont="1" applyFill="1" applyBorder="1" applyAlignment="1">
      <alignment horizontal="center" vertical="center" wrapText="1"/>
    </xf>
    <xf numFmtId="0" fontId="53" fillId="11" borderId="90" xfId="0" applyFont="1" applyFill="1" applyBorder="1" applyAlignment="1">
      <alignment horizontal="center" vertical="center" wrapText="1"/>
    </xf>
    <xf numFmtId="0" fontId="53" fillId="11" borderId="17" xfId="0" applyFont="1" applyFill="1" applyBorder="1" applyAlignment="1">
      <alignment horizontal="center" vertical="center" wrapText="1"/>
    </xf>
    <xf numFmtId="0" fontId="53" fillId="11" borderId="78" xfId="0" applyFont="1" applyFill="1" applyBorder="1" applyAlignment="1">
      <alignment horizontal="center" vertical="center" wrapText="1"/>
    </xf>
    <xf numFmtId="0" fontId="38" fillId="11" borderId="22" xfId="0" applyFont="1" applyFill="1" applyBorder="1" applyAlignment="1">
      <alignment horizontal="left" vertical="center"/>
    </xf>
    <xf numFmtId="0" fontId="38" fillId="11" borderId="18" xfId="0" applyFont="1" applyFill="1" applyBorder="1" applyAlignment="1">
      <alignment horizontal="left" vertical="center"/>
    </xf>
    <xf numFmtId="0" fontId="38" fillId="11" borderId="23" xfId="0" applyFont="1" applyFill="1" applyBorder="1" applyAlignment="1">
      <alignment horizontal="left" vertical="center"/>
    </xf>
    <xf numFmtId="0" fontId="38" fillId="11" borderId="18" xfId="0" applyFont="1" applyFill="1" applyBorder="1" applyAlignment="1">
      <alignment horizontal="left" vertical="center" wrapText="1"/>
    </xf>
    <xf numFmtId="0" fontId="38" fillId="11" borderId="23" xfId="0" applyFont="1" applyFill="1" applyBorder="1" applyAlignment="1">
      <alignment horizontal="left" vertical="center" wrapText="1"/>
    </xf>
    <xf numFmtId="0" fontId="44" fillId="11" borderId="24" xfId="0" applyFont="1" applyFill="1" applyBorder="1" applyAlignment="1">
      <alignment horizontal="right" vertical="center"/>
    </xf>
    <xf numFmtId="0" fontId="44" fillId="11" borderId="25" xfId="0" applyFont="1" applyFill="1" applyBorder="1" applyAlignment="1">
      <alignment horizontal="right" vertical="center"/>
    </xf>
    <xf numFmtId="0" fontId="44" fillId="11" borderId="26" xfId="0" applyFont="1" applyFill="1" applyBorder="1" applyAlignment="1">
      <alignment horizontal="right" vertical="center"/>
    </xf>
    <xf numFmtId="0" fontId="38" fillId="11" borderId="22" xfId="0" applyFont="1" applyFill="1" applyBorder="1" applyAlignment="1">
      <alignment horizontal="left" vertical="center" wrapText="1"/>
    </xf>
    <xf numFmtId="0" fontId="38" fillId="11" borderId="22" xfId="0" applyFont="1" applyFill="1" applyBorder="1" applyAlignment="1">
      <alignment horizontal="center" vertical="center" wrapText="1"/>
    </xf>
    <xf numFmtId="0" fontId="38" fillId="11" borderId="18" xfId="0" applyFont="1" applyFill="1" applyBorder="1" applyAlignment="1">
      <alignment vertical="center"/>
    </xf>
    <xf numFmtId="0" fontId="38" fillId="11" borderId="22" xfId="0" applyFont="1" applyFill="1" applyBorder="1" applyAlignment="1">
      <alignment vertical="center"/>
    </xf>
    <xf numFmtId="0" fontId="38" fillId="11" borderId="39" xfId="0" applyFont="1" applyFill="1" applyBorder="1" applyAlignment="1">
      <alignment horizontal="left" vertical="center" wrapText="1"/>
    </xf>
    <xf numFmtId="0" fontId="23" fillId="11" borderId="75" xfId="0" applyFont="1" applyFill="1" applyBorder="1" applyAlignment="1">
      <alignment horizontal="center" vertical="center" wrapText="1"/>
    </xf>
    <xf numFmtId="0" fontId="23" fillId="11" borderId="89" xfId="0" applyFont="1" applyFill="1" applyBorder="1" applyAlignment="1">
      <alignment horizontal="center" vertical="center" wrapText="1"/>
    </xf>
    <xf numFmtId="0" fontId="23" fillId="11" borderId="44" xfId="0" applyFont="1" applyFill="1" applyBorder="1" applyAlignment="1">
      <alignment horizontal="center" vertical="center" wrapText="1"/>
    </xf>
    <xf numFmtId="0" fontId="23" fillId="11" borderId="79" xfId="0" applyFont="1" applyFill="1" applyBorder="1" applyAlignment="1">
      <alignment horizontal="center" vertical="center" wrapText="1"/>
    </xf>
    <xf numFmtId="0" fontId="44" fillId="11" borderId="67" xfId="0" applyFont="1" applyFill="1" applyBorder="1" applyAlignment="1">
      <alignment horizontal="left" vertical="center"/>
    </xf>
    <xf numFmtId="0" fontId="44" fillId="11" borderId="82" xfId="0" applyFont="1" applyFill="1" applyBorder="1" applyAlignment="1">
      <alignment horizontal="left" vertical="center"/>
    </xf>
    <xf numFmtId="0" fontId="44" fillId="11" borderId="35" xfId="0" applyFont="1" applyFill="1" applyBorder="1" applyAlignment="1">
      <alignment horizontal="left" vertical="center"/>
    </xf>
    <xf numFmtId="0" fontId="53" fillId="11" borderId="67" xfId="0" applyFont="1" applyFill="1" applyBorder="1" applyAlignment="1">
      <alignment horizontal="center" vertical="center"/>
    </xf>
    <xf numFmtId="0" fontId="53" fillId="11" borderId="82" xfId="0" applyFont="1" applyFill="1" applyBorder="1" applyAlignment="1">
      <alignment horizontal="center" vertical="center"/>
    </xf>
    <xf numFmtId="0" fontId="53" fillId="11" borderId="35" xfId="0" applyFont="1" applyFill="1" applyBorder="1" applyAlignment="1">
      <alignment horizontal="center" vertical="center"/>
    </xf>
    <xf numFmtId="0" fontId="38" fillId="11" borderId="19" xfId="0" applyFont="1" applyFill="1" applyBorder="1" applyAlignment="1">
      <alignment horizontal="left" vertical="center" wrapText="1"/>
    </xf>
    <xf numFmtId="0" fontId="38" fillId="11" borderId="20" xfId="0" applyFont="1" applyFill="1" applyBorder="1" applyAlignment="1">
      <alignment horizontal="left" vertical="center" wrapText="1"/>
    </xf>
    <xf numFmtId="0" fontId="38" fillId="11" borderId="49" xfId="0" applyFont="1" applyFill="1" applyBorder="1" applyAlignment="1">
      <alignment horizontal="left" vertical="center" wrapText="1"/>
    </xf>
    <xf numFmtId="0" fontId="28" fillId="11" borderId="88" xfId="0" applyFont="1" applyFill="1" applyBorder="1" applyAlignment="1">
      <alignment horizontal="center" vertical="center" wrapText="1"/>
    </xf>
    <xf numFmtId="0" fontId="28" fillId="11" borderId="48" xfId="0" applyFont="1" applyFill="1" applyBorder="1" applyAlignment="1">
      <alignment horizontal="center" vertical="center" wrapText="1"/>
    </xf>
    <xf numFmtId="0" fontId="28" fillId="11" borderId="89" xfId="0" applyFont="1" applyFill="1" applyBorder="1" applyAlignment="1">
      <alignment horizontal="center" vertical="center" wrapText="1"/>
    </xf>
    <xf numFmtId="0" fontId="28" fillId="11" borderId="69"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8" fillId="11" borderId="79" xfId="0" applyFont="1" applyFill="1" applyBorder="1" applyAlignment="1">
      <alignment horizontal="center" vertical="center" wrapText="1"/>
    </xf>
    <xf numFmtId="0" fontId="28" fillId="11" borderId="90" xfId="0" applyFont="1" applyFill="1" applyBorder="1" applyAlignment="1">
      <alignment horizontal="center" vertical="center" wrapText="1"/>
    </xf>
    <xf numFmtId="0" fontId="28" fillId="11" borderId="17" xfId="0" applyFont="1" applyFill="1" applyBorder="1" applyAlignment="1">
      <alignment horizontal="center" vertical="center" wrapText="1"/>
    </xf>
    <xf numFmtId="0" fontId="28" fillId="11" borderId="91" xfId="0" applyFont="1" applyFill="1" applyBorder="1" applyAlignment="1">
      <alignment horizontal="center" vertical="center" wrapText="1"/>
    </xf>
    <xf numFmtId="0" fontId="53" fillId="11" borderId="75" xfId="0" applyFont="1" applyFill="1" applyBorder="1" applyAlignment="1">
      <alignment horizontal="center" vertical="center" wrapText="1"/>
    </xf>
    <xf numFmtId="0" fontId="53" fillId="11" borderId="77" xfId="0" applyFont="1" applyFill="1" applyBorder="1" applyAlignment="1">
      <alignment horizontal="center" vertical="center" wrapText="1"/>
    </xf>
    <xf numFmtId="0" fontId="53" fillId="11" borderId="31" xfId="0" applyFont="1" applyFill="1" applyBorder="1" applyAlignment="1">
      <alignment horizontal="center" vertical="center" wrapText="1"/>
    </xf>
    <xf numFmtId="0" fontId="53" fillId="11" borderId="33" xfId="0" applyFont="1" applyFill="1" applyBorder="1" applyAlignment="1">
      <alignment horizontal="center" vertical="center" wrapText="1"/>
    </xf>
    <xf numFmtId="0" fontId="43" fillId="11" borderId="27" xfId="0" applyFont="1" applyFill="1" applyBorder="1" applyAlignment="1">
      <alignment horizontal="center" vertical="center"/>
    </xf>
    <xf numFmtId="0" fontId="43" fillId="11" borderId="9" xfId="0" applyFont="1" applyFill="1" applyBorder="1" applyAlignment="1">
      <alignment horizontal="center" vertical="center"/>
    </xf>
    <xf numFmtId="0" fontId="43" fillId="11" borderId="10" xfId="0" applyFont="1" applyFill="1" applyBorder="1" applyAlignment="1">
      <alignment horizontal="center" vertical="center"/>
    </xf>
    <xf numFmtId="0" fontId="23" fillId="11" borderId="48" xfId="0" applyFont="1" applyFill="1" applyBorder="1" applyAlignment="1">
      <alignment horizontal="center" vertical="center"/>
    </xf>
    <xf numFmtId="0" fontId="23" fillId="11" borderId="1" xfId="0" applyFont="1" applyFill="1" applyBorder="1" applyAlignment="1">
      <alignment horizontal="center" vertical="center"/>
    </xf>
    <xf numFmtId="0" fontId="23" fillId="11" borderId="17" xfId="0" applyFont="1" applyFill="1" applyBorder="1" applyAlignment="1">
      <alignment horizontal="center" vertical="center"/>
    </xf>
    <xf numFmtId="0" fontId="50" fillId="11" borderId="27" xfId="0" applyFont="1" applyFill="1" applyBorder="1" applyAlignment="1">
      <alignment horizontal="center" vertical="center"/>
    </xf>
    <xf numFmtId="0" fontId="50" fillId="11" borderId="9" xfId="0" applyFont="1" applyFill="1" applyBorder="1" applyAlignment="1">
      <alignment horizontal="center" vertical="center"/>
    </xf>
    <xf numFmtId="0" fontId="50" fillId="11" borderId="48" xfId="0" applyFont="1" applyFill="1" applyBorder="1" applyAlignment="1">
      <alignment horizontal="center" vertical="center"/>
    </xf>
    <xf numFmtId="0" fontId="50" fillId="11" borderId="76" xfId="0" applyFont="1" applyFill="1" applyBorder="1" applyAlignment="1">
      <alignment horizontal="center" vertical="center"/>
    </xf>
    <xf numFmtId="0" fontId="53" fillId="11" borderId="89" xfId="0" applyFont="1" applyFill="1" applyBorder="1" applyAlignment="1">
      <alignment horizontal="center" vertical="center" wrapText="1"/>
    </xf>
    <xf numFmtId="0" fontId="53" fillId="11" borderId="91" xfId="0" applyFont="1" applyFill="1" applyBorder="1" applyAlignment="1">
      <alignment horizontal="center" vertical="center" wrapText="1"/>
    </xf>
    <xf numFmtId="0" fontId="23" fillId="11" borderId="64" xfId="0" applyFont="1" applyFill="1" applyBorder="1" applyAlignment="1">
      <alignment horizontal="center" vertical="center" wrapText="1"/>
    </xf>
    <xf numFmtId="0" fontId="23" fillId="11" borderId="63" xfId="0" applyFont="1" applyFill="1" applyBorder="1" applyAlignment="1">
      <alignment horizontal="center" vertical="center" wrapText="1"/>
    </xf>
    <xf numFmtId="0" fontId="23" fillId="11" borderId="60" xfId="0" applyFont="1" applyFill="1" applyBorder="1" applyAlignment="1">
      <alignment horizontal="center" vertical="center" wrapText="1"/>
    </xf>
    <xf numFmtId="0" fontId="23" fillId="11" borderId="49" xfId="0" applyFont="1" applyFill="1" applyBorder="1" applyAlignment="1">
      <alignment horizontal="center" vertical="center" wrapText="1"/>
    </xf>
    <xf numFmtId="0" fontId="23" fillId="11" borderId="90" xfId="0" applyFont="1" applyFill="1" applyBorder="1" applyAlignment="1">
      <alignment horizontal="center" vertical="center" wrapText="1"/>
    </xf>
    <xf numFmtId="0" fontId="23" fillId="11" borderId="17" xfId="0" applyFont="1" applyFill="1" applyBorder="1" applyAlignment="1">
      <alignment horizontal="center" vertical="center" wrapText="1"/>
    </xf>
    <xf numFmtId="0" fontId="23" fillId="11" borderId="91" xfId="0" applyFont="1" applyFill="1" applyBorder="1" applyAlignment="1">
      <alignment horizontal="center" vertical="center" wrapText="1"/>
    </xf>
    <xf numFmtId="0" fontId="50" fillId="11" borderId="61" xfId="0" applyFont="1" applyFill="1" applyBorder="1" applyAlignment="1">
      <alignment horizontal="center" vertical="center"/>
    </xf>
    <xf numFmtId="0" fontId="50" fillId="11" borderId="62" xfId="0" applyFont="1" applyFill="1" applyBorder="1" applyAlignment="1">
      <alignment horizontal="center" vertical="center"/>
    </xf>
    <xf numFmtId="0" fontId="50" fillId="11" borderId="92" xfId="0" applyFont="1" applyFill="1" applyBorder="1" applyAlignment="1">
      <alignment horizontal="center" vertical="center"/>
    </xf>
    <xf numFmtId="0" fontId="23" fillId="11" borderId="34" xfId="0" applyFont="1" applyFill="1" applyBorder="1" applyAlignment="1">
      <alignment horizontal="center" vertical="center" wrapText="1"/>
    </xf>
    <xf numFmtId="0" fontId="23" fillId="11" borderId="82" xfId="0" applyFont="1" applyFill="1" applyBorder="1" applyAlignment="1">
      <alignment horizontal="center" vertical="center" wrapText="1"/>
    </xf>
    <xf numFmtId="0" fontId="23" fillId="11" borderId="35" xfId="0" applyFont="1" applyFill="1" applyBorder="1" applyAlignment="1">
      <alignment horizontal="center" vertical="center" wrapText="1"/>
    </xf>
    <xf numFmtId="49" fontId="36" fillId="0" borderId="20" xfId="0" quotePrefix="1" applyNumberFormat="1" applyFont="1" applyBorder="1" applyAlignment="1">
      <alignment horizontal="left" vertical="center"/>
    </xf>
    <xf numFmtId="49" fontId="36" fillId="0" borderId="20" xfId="0" applyNumberFormat="1" applyFont="1" applyBorder="1" applyAlignment="1">
      <alignment horizontal="left" vertical="center"/>
    </xf>
    <xf numFmtId="49" fontId="36" fillId="0" borderId="18" xfId="0" quotePrefix="1" applyNumberFormat="1" applyFont="1" applyBorder="1" applyAlignment="1">
      <alignment horizontal="left" vertical="center"/>
    </xf>
    <xf numFmtId="49" fontId="36" fillId="0" borderId="18" xfId="0" applyNumberFormat="1" applyFont="1" applyBorder="1" applyAlignment="1">
      <alignment horizontal="left" vertical="center"/>
    </xf>
    <xf numFmtId="0" fontId="36" fillId="0" borderId="20" xfId="0" applyFont="1" applyBorder="1" applyAlignment="1">
      <alignment horizontal="left" vertical="center" wrapText="1"/>
    </xf>
    <xf numFmtId="0" fontId="0" fillId="0" borderId="18" xfId="0" applyBorder="1" applyAlignment="1">
      <alignment horizontal="left" vertical="center" wrapText="1"/>
    </xf>
    <xf numFmtId="0" fontId="0" fillId="0" borderId="25" xfId="0" applyBorder="1" applyAlignment="1">
      <alignment horizontal="left" vertical="center" wrapText="1"/>
    </xf>
    <xf numFmtId="0" fontId="38" fillId="0" borderId="88" xfId="0" applyFont="1" applyBorder="1" applyAlignment="1">
      <alignment horizontal="center" vertical="center"/>
    </xf>
    <xf numFmtId="0" fontId="38" fillId="0" borderId="48" xfId="0" applyFont="1" applyBorder="1" applyAlignment="1">
      <alignment horizontal="center" vertical="center"/>
    </xf>
    <xf numFmtId="0" fontId="38" fillId="0" borderId="76" xfId="0" applyFont="1" applyBorder="1" applyAlignment="1">
      <alignment horizontal="center" vertical="center"/>
    </xf>
    <xf numFmtId="0" fontId="38" fillId="0" borderId="69" xfId="0" applyFont="1" applyBorder="1" applyAlignment="1">
      <alignment horizontal="center" vertical="center"/>
    </xf>
    <xf numFmtId="0" fontId="38" fillId="0" borderId="1" xfId="0" applyFont="1" applyBorder="1" applyAlignment="1">
      <alignment horizontal="center" vertical="center"/>
    </xf>
    <xf numFmtId="0" fontId="38" fillId="0" borderId="45" xfId="0" applyFont="1" applyBorder="1" applyAlignment="1">
      <alignment horizontal="center" vertical="center"/>
    </xf>
    <xf numFmtId="0" fontId="38" fillId="0" borderId="90" xfId="0" applyFont="1" applyBorder="1" applyAlignment="1">
      <alignment horizontal="center" vertical="center"/>
    </xf>
    <xf numFmtId="0" fontId="38" fillId="0" borderId="17" xfId="0" applyFont="1" applyBorder="1" applyAlignment="1">
      <alignment horizontal="center" vertical="center"/>
    </xf>
    <xf numFmtId="0" fontId="38" fillId="0" borderId="78" xfId="0" applyFont="1" applyBorder="1" applyAlignment="1">
      <alignment horizontal="center" vertical="center"/>
    </xf>
    <xf numFmtId="49" fontId="23" fillId="11" borderId="19" xfId="0" applyNumberFormat="1" applyFont="1" applyFill="1" applyBorder="1" applyAlignment="1">
      <alignment horizontal="center" vertical="center" textRotation="90"/>
    </xf>
    <xf numFmtId="49" fontId="36" fillId="0" borderId="18" xfId="0" quotePrefix="1" applyNumberFormat="1" applyFont="1" applyBorder="1" applyAlignment="1">
      <alignment horizontal="left" vertical="center" wrapText="1"/>
    </xf>
    <xf numFmtId="0" fontId="36" fillId="0" borderId="18" xfId="0" applyFont="1" applyBorder="1" applyAlignment="1">
      <alignment horizontal="left" vertical="center" wrapText="1"/>
    </xf>
    <xf numFmtId="0" fontId="23" fillId="11" borderId="71" xfId="0" applyFont="1" applyFill="1" applyBorder="1" applyAlignment="1">
      <alignment horizontal="center" vertical="center" wrapText="1"/>
    </xf>
    <xf numFmtId="0" fontId="23" fillId="11" borderId="88" xfId="0" applyFont="1" applyFill="1" applyBorder="1" applyAlignment="1">
      <alignment horizontal="center" vertical="center"/>
    </xf>
    <xf numFmtId="0" fontId="23" fillId="11" borderId="76" xfId="0" applyFont="1" applyFill="1" applyBorder="1" applyAlignment="1">
      <alignment horizontal="center" vertical="center"/>
    </xf>
    <xf numFmtId="0" fontId="23" fillId="11" borderId="90" xfId="0" applyFont="1" applyFill="1" applyBorder="1" applyAlignment="1">
      <alignment horizontal="center" vertical="center"/>
    </xf>
    <xf numFmtId="0" fontId="23" fillId="11" borderId="78" xfId="0" applyFont="1" applyFill="1" applyBorder="1" applyAlignment="1">
      <alignment horizontal="center" vertical="center"/>
    </xf>
    <xf numFmtId="0" fontId="23" fillId="11" borderId="84" xfId="0" applyFont="1" applyFill="1" applyBorder="1" applyAlignment="1">
      <alignment horizontal="center" vertical="center" wrapText="1"/>
    </xf>
    <xf numFmtId="49" fontId="36" fillId="0" borderId="34" xfId="0" quotePrefix="1" applyNumberFormat="1" applyFont="1" applyBorder="1" applyAlignment="1">
      <alignment horizontal="left" vertical="center"/>
    </xf>
    <xf numFmtId="49" fontId="36" fillId="0" borderId="35" xfId="0" quotePrefix="1" applyNumberFormat="1" applyFont="1" applyBorder="1" applyAlignment="1">
      <alignment horizontal="left" vertical="center"/>
    </xf>
    <xf numFmtId="0" fontId="40" fillId="0" borderId="25" xfId="0" applyFont="1" applyBorder="1" applyAlignment="1">
      <alignment horizontal="right" vertical="center"/>
    </xf>
    <xf numFmtId="0" fontId="0" fillId="0" borderId="25" xfId="0" applyBorder="1" applyAlignment="1">
      <alignment horizontal="right" vertical="center"/>
    </xf>
    <xf numFmtId="0" fontId="23" fillId="11" borderId="27" xfId="0" applyFont="1" applyFill="1" applyBorder="1" applyAlignment="1">
      <alignment horizontal="center" vertical="center" wrapText="1"/>
    </xf>
    <xf numFmtId="0" fontId="23" fillId="11" borderId="10" xfId="0" applyFont="1" applyFill="1" applyBorder="1" applyAlignment="1">
      <alignment horizontal="center" vertical="center" wrapText="1"/>
    </xf>
    <xf numFmtId="0" fontId="36" fillId="0" borderId="20" xfId="0" applyFont="1" applyBorder="1" applyAlignment="1">
      <alignment vertical="center" wrapText="1"/>
    </xf>
    <xf numFmtId="0" fontId="36" fillId="0" borderId="18" xfId="0" applyFont="1" applyBorder="1" applyAlignment="1">
      <alignment horizontal="left" vertical="center"/>
    </xf>
    <xf numFmtId="49" fontId="36" fillId="0" borderId="20" xfId="0" quotePrefix="1" applyNumberFormat="1" applyFont="1" applyBorder="1" applyAlignment="1">
      <alignment vertical="center"/>
    </xf>
    <xf numFmtId="0" fontId="0" fillId="0" borderId="20" xfId="0" applyBorder="1" applyAlignment="1">
      <alignment vertical="center"/>
    </xf>
    <xf numFmtId="49" fontId="36" fillId="0" borderId="18" xfId="0" quotePrefix="1" applyNumberFormat="1" applyFont="1" applyBorder="1" applyAlignment="1">
      <alignment vertical="center"/>
    </xf>
    <xf numFmtId="0" fontId="0" fillId="0" borderId="18" xfId="0" applyBorder="1" applyAlignment="1">
      <alignment vertical="center"/>
    </xf>
    <xf numFmtId="49" fontId="36" fillId="0" borderId="25" xfId="0" quotePrefix="1" applyNumberFormat="1" applyFont="1" applyBorder="1" applyAlignment="1">
      <alignment vertical="center"/>
    </xf>
    <xf numFmtId="0" fontId="0" fillId="0" borderId="25" xfId="0" applyBorder="1" applyAlignment="1">
      <alignment vertical="center"/>
    </xf>
    <xf numFmtId="49" fontId="36" fillId="0" borderId="20" xfId="0" applyNumberFormat="1" applyFont="1" applyBorder="1" applyAlignment="1">
      <alignment horizontal="center" vertical="center" wrapText="1"/>
    </xf>
    <xf numFmtId="49" fontId="36" fillId="0" borderId="18" xfId="0" applyNumberFormat="1" applyFont="1" applyBorder="1" applyAlignment="1">
      <alignment horizontal="center" vertical="center" wrapText="1"/>
    </xf>
    <xf numFmtId="0" fontId="40" fillId="0" borderId="52" xfId="0" applyFont="1" applyBorder="1" applyAlignment="1">
      <alignment horizontal="right" vertical="center"/>
    </xf>
    <xf numFmtId="0" fontId="0" fillId="0" borderId="32" xfId="0" applyBorder="1" applyAlignment="1">
      <alignment vertical="center"/>
    </xf>
    <xf numFmtId="0" fontId="36" fillId="0" borderId="20" xfId="0" applyFont="1" applyBorder="1" applyAlignment="1">
      <alignment horizontal="left" vertical="center"/>
    </xf>
    <xf numFmtId="0" fontId="36" fillId="0" borderId="18" xfId="0" applyFont="1" applyBorder="1" applyAlignment="1">
      <alignment vertical="center" wrapText="1"/>
    </xf>
    <xf numFmtId="0" fontId="38" fillId="0" borderId="18" xfId="0" applyFont="1" applyBorder="1" applyAlignment="1">
      <alignment horizontal="left" vertical="center" wrapText="1"/>
    </xf>
    <xf numFmtId="49" fontId="38" fillId="16" borderId="20" xfId="0" applyNumberFormat="1" applyFont="1" applyFill="1" applyBorder="1" applyAlignment="1">
      <alignment horizontal="center" vertical="center"/>
    </xf>
    <xf numFmtId="49" fontId="38" fillId="16" borderId="25" xfId="0" applyNumberFormat="1" applyFont="1" applyFill="1" applyBorder="1" applyAlignment="1">
      <alignment horizontal="center" vertical="center"/>
    </xf>
    <xf numFmtId="0" fontId="47" fillId="11" borderId="19" xfId="0" applyFont="1" applyFill="1" applyBorder="1" applyAlignment="1">
      <alignment horizontal="center" vertical="center"/>
    </xf>
    <xf numFmtId="0" fontId="47" fillId="11" borderId="20" xfId="0" applyFont="1" applyFill="1" applyBorder="1" applyAlignment="1">
      <alignment horizontal="center" vertical="center"/>
    </xf>
    <xf numFmtId="0" fontId="47" fillId="11" borderId="24" xfId="0" applyFont="1" applyFill="1" applyBorder="1" applyAlignment="1">
      <alignment horizontal="center" vertical="center"/>
    </xf>
    <xf numFmtId="0" fontId="47" fillId="11" borderId="25" xfId="0" applyFont="1" applyFill="1" applyBorder="1" applyAlignment="1">
      <alignment horizontal="center" vertical="center"/>
    </xf>
    <xf numFmtId="0" fontId="23" fillId="11" borderId="24" xfId="0" applyFont="1" applyFill="1" applyBorder="1" applyAlignment="1">
      <alignment horizontal="center" vertical="center" wrapText="1"/>
    </xf>
    <xf numFmtId="49" fontId="46" fillId="0" borderId="20" xfId="0" applyNumberFormat="1" applyFont="1" applyBorder="1" applyAlignment="1">
      <alignment horizontal="center" vertical="center"/>
    </xf>
    <xf numFmtId="49" fontId="38" fillId="0" borderId="25" xfId="0" applyNumberFormat="1" applyFont="1" applyBorder="1" applyAlignment="1">
      <alignment horizontal="center" vertical="center"/>
    </xf>
    <xf numFmtId="0" fontId="46" fillId="0" borderId="20" xfId="0" applyFont="1" applyBorder="1" applyAlignment="1">
      <alignment horizontal="left" vertical="center"/>
    </xf>
    <xf numFmtId="0" fontId="38" fillId="0" borderId="25" xfId="0" applyFont="1" applyBorder="1" applyAlignment="1">
      <alignment horizontal="left" vertical="center"/>
    </xf>
    <xf numFmtId="0" fontId="38" fillId="0" borderId="22" xfId="0" applyFont="1" applyBorder="1" applyAlignment="1">
      <alignment horizontal="left" vertical="center"/>
    </xf>
    <xf numFmtId="0" fontId="23" fillId="0" borderId="38" xfId="0" applyFont="1" applyBorder="1" applyAlignment="1">
      <alignment horizontal="right" vertical="center"/>
    </xf>
    <xf numFmtId="0" fontId="23" fillId="0" borderId="31" xfId="0" applyFont="1" applyBorder="1" applyAlignment="1">
      <alignment horizontal="right" vertical="center"/>
    </xf>
    <xf numFmtId="0" fontId="38" fillId="0" borderId="22" xfId="0" applyFont="1" applyBorder="1" applyAlignment="1">
      <alignment horizontal="left" vertical="center" wrapText="1"/>
    </xf>
    <xf numFmtId="0" fontId="38" fillId="0" borderId="22" xfId="0" applyFont="1" applyBorder="1" applyAlignment="1">
      <alignment horizontal="center" vertical="center" wrapText="1"/>
    </xf>
    <xf numFmtId="0" fontId="38" fillId="0" borderId="18" xfId="0" applyFont="1" applyBorder="1" applyAlignment="1">
      <alignment vertical="center" wrapText="1"/>
    </xf>
    <xf numFmtId="0" fontId="38" fillId="0" borderId="22" xfId="0" applyFont="1" applyBorder="1" applyAlignment="1">
      <alignment vertical="center" wrapText="1"/>
    </xf>
    <xf numFmtId="0" fontId="38" fillId="0" borderId="19" xfId="0" applyFont="1" applyBorder="1" applyAlignment="1">
      <alignment horizontal="left" vertical="center"/>
    </xf>
    <xf numFmtId="0" fontId="38" fillId="0" borderId="20" xfId="0" applyFont="1" applyBorder="1" applyAlignment="1">
      <alignment horizontal="left" vertical="center"/>
    </xf>
    <xf numFmtId="0" fontId="38" fillId="16" borderId="20" xfId="0" applyFont="1" applyFill="1" applyBorder="1" applyAlignment="1">
      <alignment horizontal="center" vertical="center"/>
    </xf>
    <xf numFmtId="0" fontId="0" fillId="16" borderId="20" xfId="0" applyFill="1" applyBorder="1" applyAlignment="1">
      <alignment vertical="center"/>
    </xf>
    <xf numFmtId="0" fontId="0" fillId="16" borderId="18" xfId="0" applyFill="1" applyBorder="1" applyAlignment="1">
      <alignment vertical="center"/>
    </xf>
    <xf numFmtId="0" fontId="0" fillId="16" borderId="25" xfId="0" applyFill="1" applyBorder="1" applyAlignment="1">
      <alignment vertical="center"/>
    </xf>
    <xf numFmtId="49" fontId="38" fillId="0" borderId="18" xfId="0" quotePrefix="1" applyNumberFormat="1" applyFont="1" applyBorder="1" applyAlignment="1">
      <alignment horizontal="left" vertical="center"/>
    </xf>
    <xf numFmtId="49" fontId="38" fillId="0" borderId="18" xfId="0" applyNumberFormat="1" applyFont="1" applyBorder="1" applyAlignment="1">
      <alignment horizontal="left" vertical="center"/>
    </xf>
    <xf numFmtId="49" fontId="38" fillId="0" borderId="20" xfId="0" applyNumberFormat="1" applyFont="1" applyBorder="1" applyAlignment="1">
      <alignment horizontal="center" vertical="center"/>
    </xf>
    <xf numFmtId="49" fontId="38" fillId="0" borderId="18" xfId="0" applyNumberFormat="1" applyFont="1" applyBorder="1" applyAlignment="1">
      <alignment horizontal="center" vertical="center"/>
    </xf>
    <xf numFmtId="0" fontId="38" fillId="0" borderId="20" xfId="0" applyFont="1" applyBorder="1" applyAlignment="1">
      <alignment horizontal="center" vertical="center"/>
    </xf>
    <xf numFmtId="49" fontId="38" fillId="0" borderId="20" xfId="0" quotePrefix="1" applyNumberFormat="1" applyFont="1" applyBorder="1" applyAlignment="1">
      <alignment horizontal="left" vertical="center"/>
    </xf>
    <xf numFmtId="49" fontId="38" fillId="0" borderId="20" xfId="0" applyNumberFormat="1" applyFont="1" applyBorder="1" applyAlignment="1">
      <alignment horizontal="left" vertical="center"/>
    </xf>
    <xf numFmtId="0" fontId="23" fillId="11" borderId="25" xfId="0" applyFont="1" applyFill="1" applyBorder="1" applyAlignment="1">
      <alignment horizontal="center" vertical="center" wrapText="1"/>
    </xf>
    <xf numFmtId="0" fontId="23" fillId="11" borderId="40" xfId="0" applyFont="1" applyFill="1" applyBorder="1" applyAlignment="1">
      <alignment horizontal="center" vertical="center" wrapText="1"/>
    </xf>
    <xf numFmtId="0" fontId="23" fillId="11" borderId="52" xfId="0" applyFont="1" applyFill="1" applyBorder="1" applyAlignment="1">
      <alignment horizontal="center" vertical="center" wrapText="1"/>
    </xf>
    <xf numFmtId="0" fontId="23" fillId="11" borderId="53" xfId="0" applyFont="1" applyFill="1" applyBorder="1" applyAlignment="1">
      <alignment horizontal="center" vertical="center" wrapText="1"/>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63" fillId="20" borderId="18" xfId="0" applyFont="1" applyFill="1" applyBorder="1" applyAlignment="1">
      <alignment horizontal="left" vertical="center"/>
    </xf>
    <xf numFmtId="0" fontId="63" fillId="20" borderId="18" xfId="2" applyFont="1" applyFill="1" applyBorder="1" applyAlignment="1">
      <alignment horizontal="left" vertical="center"/>
    </xf>
    <xf numFmtId="0" fontId="63" fillId="21" borderId="18" xfId="0" applyFont="1" applyFill="1" applyBorder="1" applyAlignment="1">
      <alignment horizontal="left" vertical="center"/>
    </xf>
    <xf numFmtId="0" fontId="52" fillId="11" borderId="27" xfId="0" applyFont="1" applyFill="1" applyBorder="1" applyAlignment="1">
      <alignment horizontal="center" vertical="center"/>
    </xf>
    <xf numFmtId="0" fontId="52" fillId="11" borderId="9" xfId="0" applyFont="1" applyFill="1" applyBorder="1" applyAlignment="1">
      <alignment horizontal="center" vertical="center"/>
    </xf>
    <xf numFmtId="0" fontId="52" fillId="11" borderId="10" xfId="0" applyFont="1" applyFill="1" applyBorder="1" applyAlignment="1">
      <alignment horizontal="center" vertical="center"/>
    </xf>
    <xf numFmtId="0" fontId="14" fillId="0" borderId="22" xfId="0" applyFont="1"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14" fillId="0" borderId="34" xfId="0" applyFont="1" applyBorder="1" applyAlignment="1">
      <alignment horizontal="left" vertical="center" wrapText="1"/>
    </xf>
    <xf numFmtId="0" fontId="14" fillId="0" borderId="82" xfId="0" applyFont="1" applyBorder="1" applyAlignment="1">
      <alignment horizontal="left" vertical="center" wrapText="1"/>
    </xf>
    <xf numFmtId="0" fontId="14" fillId="0" borderId="35" xfId="0" applyFont="1" applyBorder="1" applyAlignment="1">
      <alignment horizontal="left" vertical="center" wrapText="1"/>
    </xf>
    <xf numFmtId="0" fontId="14" fillId="0" borderId="0" xfId="0" applyFont="1" applyAlignment="1">
      <alignment horizontal="left" vertical="center" wrapText="1"/>
    </xf>
    <xf numFmtId="0" fontId="0" fillId="0" borderId="67" xfId="0" applyBorder="1" applyAlignment="1">
      <alignment horizontal="center" vertical="center"/>
    </xf>
    <xf numFmtId="0" fontId="0" fillId="0" borderId="73" xfId="0" applyBorder="1" applyAlignment="1">
      <alignment horizontal="center" vertical="center"/>
    </xf>
    <xf numFmtId="0" fontId="14" fillId="0" borderId="49" xfId="0" applyFont="1" applyBorder="1" applyAlignment="1">
      <alignment horizontal="left" vertical="center"/>
    </xf>
    <xf numFmtId="0" fontId="14" fillId="0" borderId="34" xfId="0" quotePrefix="1" applyFont="1" applyBorder="1" applyAlignment="1">
      <alignment horizontal="left" vertical="center"/>
    </xf>
    <xf numFmtId="0" fontId="14" fillId="0" borderId="82" xfId="0" quotePrefix="1" applyFont="1" applyBorder="1" applyAlignment="1">
      <alignment horizontal="left" vertical="center"/>
    </xf>
    <xf numFmtId="0" fontId="14" fillId="0" borderId="35" xfId="0" quotePrefix="1" applyFont="1" applyBorder="1" applyAlignment="1">
      <alignment horizontal="left" vertical="center"/>
    </xf>
    <xf numFmtId="0" fontId="24" fillId="0" borderId="34" xfId="0" quotePrefix="1" applyFont="1" applyBorder="1" applyAlignment="1">
      <alignment horizontal="left" vertical="center"/>
    </xf>
    <xf numFmtId="0" fontId="24" fillId="0" borderId="82" xfId="0" quotePrefix="1" applyFont="1" applyBorder="1" applyAlignment="1">
      <alignment horizontal="left" vertical="center"/>
    </xf>
    <xf numFmtId="0" fontId="24" fillId="0" borderId="35" xfId="0" quotePrefix="1" applyFont="1" applyBorder="1" applyAlignment="1">
      <alignment horizontal="left" vertical="center"/>
    </xf>
    <xf numFmtId="0" fontId="14" fillId="0" borderId="51" xfId="0" quotePrefix="1" applyFont="1" applyBorder="1" applyAlignment="1">
      <alignment horizontal="left" vertical="center" wrapText="1"/>
    </xf>
    <xf numFmtId="0" fontId="14" fillId="0" borderId="83" xfId="0" quotePrefix="1" applyFont="1" applyBorder="1" applyAlignment="1">
      <alignment horizontal="left" vertical="center" wrapText="1"/>
    </xf>
    <xf numFmtId="0" fontId="14" fillId="0" borderId="66" xfId="0" quotePrefix="1" applyFont="1" applyBorder="1" applyAlignment="1">
      <alignment horizontal="left" vertical="center" wrapText="1"/>
    </xf>
    <xf numFmtId="0" fontId="24" fillId="0" borderId="49" xfId="0" applyFont="1" applyBorder="1" applyAlignment="1">
      <alignment horizontal="left" vertical="center"/>
    </xf>
    <xf numFmtId="0" fontId="24" fillId="0" borderId="63" xfId="0" applyFont="1" applyBorder="1" applyAlignment="1">
      <alignment horizontal="left" vertical="center"/>
    </xf>
    <xf numFmtId="0" fontId="24" fillId="0" borderId="60" xfId="0" applyFont="1" applyBorder="1" applyAlignment="1">
      <alignment horizontal="left" vertical="center"/>
    </xf>
    <xf numFmtId="0" fontId="14" fillId="0" borderId="51" xfId="0" quotePrefix="1" applyFont="1" applyBorder="1" applyAlignment="1">
      <alignment horizontal="left" vertical="center"/>
    </xf>
    <xf numFmtId="0" fontId="14" fillId="0" borderId="83" xfId="0" quotePrefix="1" applyFont="1" applyBorder="1" applyAlignment="1">
      <alignment horizontal="left" vertical="center"/>
    </xf>
    <xf numFmtId="0" fontId="14" fillId="0" borderId="66" xfId="0" quotePrefix="1" applyFont="1" applyBorder="1" applyAlignment="1">
      <alignment horizontal="left" vertical="center"/>
    </xf>
    <xf numFmtId="0" fontId="3" fillId="0" borderId="27" xfId="0" applyFont="1" applyBorder="1" applyAlignment="1">
      <alignment horizontal="left" vertical="center"/>
    </xf>
    <xf numFmtId="0" fontId="3" fillId="0" borderId="9" xfId="0" applyFont="1" applyBorder="1" applyAlignment="1">
      <alignment horizontal="left" vertical="center"/>
    </xf>
    <xf numFmtId="0" fontId="3" fillId="0" borderId="72" xfId="0" applyFont="1" applyBorder="1" applyAlignment="1">
      <alignment horizontal="left" vertical="center"/>
    </xf>
    <xf numFmtId="0" fontId="3" fillId="0" borderId="27" xfId="0" applyFont="1" applyBorder="1" applyAlignment="1">
      <alignment horizontal="left" vertical="center" wrapText="1"/>
    </xf>
    <xf numFmtId="0" fontId="3" fillId="0" borderId="9" xfId="0" applyFont="1" applyBorder="1" applyAlignment="1">
      <alignment horizontal="left" vertical="center" wrapText="1"/>
    </xf>
    <xf numFmtId="0" fontId="3" fillId="0" borderId="72" xfId="0" applyFont="1" applyBorder="1" applyAlignment="1">
      <alignment horizontal="left" vertical="center" wrapText="1"/>
    </xf>
    <xf numFmtId="0" fontId="14" fillId="0" borderId="34" xfId="0" quotePrefix="1" applyFont="1" applyBorder="1" applyAlignment="1">
      <alignment horizontal="left" vertical="center" wrapText="1"/>
    </xf>
    <xf numFmtId="0" fontId="14" fillId="0" borderId="82" xfId="0" quotePrefix="1" applyFont="1" applyBorder="1" applyAlignment="1">
      <alignment horizontal="left" vertical="center" wrapText="1"/>
    </xf>
    <xf numFmtId="0" fontId="14" fillId="0" borderId="35" xfId="0" quotePrefix="1" applyFont="1" applyBorder="1" applyAlignment="1">
      <alignment horizontal="left" vertical="center" wrapText="1"/>
    </xf>
    <xf numFmtId="0" fontId="7" fillId="22" borderId="27" xfId="0" applyFont="1" applyFill="1" applyBorder="1" applyAlignment="1">
      <alignment horizontal="left" vertical="center" wrapText="1"/>
    </xf>
    <xf numFmtId="0" fontId="7" fillId="22" borderId="9" xfId="0" applyFont="1" applyFill="1" applyBorder="1" applyAlignment="1">
      <alignment horizontal="left" vertical="center" wrapText="1"/>
    </xf>
    <xf numFmtId="0" fontId="7" fillId="22" borderId="10" xfId="0" applyFont="1" applyFill="1" applyBorder="1" applyAlignment="1">
      <alignment horizontal="left" vertical="center" wrapText="1"/>
    </xf>
    <xf numFmtId="0" fontId="7" fillId="11" borderId="27" xfId="0" applyFont="1" applyFill="1" applyBorder="1" applyAlignment="1">
      <alignment horizontal="left" vertical="center" wrapText="1"/>
    </xf>
    <xf numFmtId="0" fontId="7" fillId="11" borderId="9"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24" fillId="0" borderId="34" xfId="0" quotePrefix="1" applyFont="1" applyFill="1" applyBorder="1" applyAlignment="1">
      <alignment horizontal="left" vertical="center"/>
    </xf>
    <xf numFmtId="0" fontId="24" fillId="0" borderId="82" xfId="0" quotePrefix="1" applyFont="1" applyFill="1" applyBorder="1" applyAlignment="1">
      <alignment horizontal="left" vertical="center"/>
    </xf>
    <xf numFmtId="0" fontId="24" fillId="0" borderId="35" xfId="0" quotePrefix="1" applyFont="1" applyFill="1" applyBorder="1" applyAlignment="1">
      <alignment horizontal="left" vertical="center"/>
    </xf>
    <xf numFmtId="0" fontId="14" fillId="0" borderId="46" xfId="0" applyFont="1" applyBorder="1" applyAlignment="1">
      <alignment horizontal="left" vertical="center"/>
    </xf>
    <xf numFmtId="0" fontId="14" fillId="0" borderId="94" xfId="0" applyFont="1" applyBorder="1" applyAlignment="1">
      <alignment horizontal="left" vertical="center"/>
    </xf>
    <xf numFmtId="0" fontId="14" fillId="0" borderId="85" xfId="0" applyFont="1" applyBorder="1" applyAlignment="1">
      <alignment horizontal="left" vertical="center"/>
    </xf>
    <xf numFmtId="0" fontId="24" fillId="0" borderId="34" xfId="0" quotePrefix="1" applyFont="1" applyBorder="1" applyAlignment="1">
      <alignment horizontal="left" vertical="center" wrapText="1"/>
    </xf>
    <xf numFmtId="0" fontId="24" fillId="0" borderId="82" xfId="0" quotePrefix="1" applyFont="1" applyBorder="1" applyAlignment="1">
      <alignment horizontal="left" vertical="center" wrapText="1"/>
    </xf>
    <xf numFmtId="0" fontId="24" fillId="0" borderId="35" xfId="0" quotePrefix="1" applyFont="1" applyBorder="1" applyAlignment="1">
      <alignment horizontal="left" vertical="center" wrapText="1"/>
    </xf>
    <xf numFmtId="0" fontId="18" fillId="6" borderId="18" xfId="0" applyFont="1" applyFill="1" applyBorder="1" applyAlignment="1">
      <alignment horizontal="left" vertical="center"/>
    </xf>
    <xf numFmtId="0" fontId="18" fillId="6" borderId="25" xfId="0" applyFont="1" applyFill="1" applyBorder="1" applyAlignment="1">
      <alignment horizontal="left" vertical="center"/>
    </xf>
    <xf numFmtId="0" fontId="18" fillId="6" borderId="27" xfId="0" applyFont="1" applyFill="1" applyBorder="1" applyAlignment="1">
      <alignment horizontal="left" vertical="center"/>
    </xf>
    <xf numFmtId="0" fontId="18" fillId="6" borderId="9" xfId="0" applyFont="1" applyFill="1" applyBorder="1" applyAlignment="1">
      <alignment horizontal="left" vertical="center"/>
    </xf>
    <xf numFmtId="0" fontId="18" fillId="6" borderId="125" xfId="0" applyFont="1" applyFill="1" applyBorder="1" applyAlignment="1">
      <alignment horizontal="left" vertical="center"/>
    </xf>
    <xf numFmtId="0" fontId="0" fillId="0" borderId="73" xfId="0" applyFont="1" applyBorder="1" applyAlignment="1">
      <alignment horizontal="left" vertical="center"/>
    </xf>
    <xf numFmtId="0" fontId="0" fillId="0" borderId="64" xfId="0" applyFont="1" applyBorder="1" applyAlignment="1">
      <alignment horizontal="left" vertical="center"/>
    </xf>
    <xf numFmtId="0" fontId="0" fillId="0" borderId="65" xfId="0" applyFont="1" applyBorder="1" applyAlignment="1">
      <alignment horizontal="left" vertical="center"/>
    </xf>
    <xf numFmtId="0" fontId="18" fillId="6" borderId="117" xfId="0" applyFont="1" applyFill="1" applyBorder="1" applyAlignment="1">
      <alignment horizontal="left" vertical="center"/>
    </xf>
    <xf numFmtId="0" fontId="18" fillId="6" borderId="7" xfId="0" applyFont="1" applyFill="1" applyBorder="1" applyAlignment="1">
      <alignment horizontal="left" vertical="center"/>
    </xf>
    <xf numFmtId="0" fontId="18" fillId="6" borderId="118" xfId="0" applyFont="1" applyFill="1" applyBorder="1" applyAlignment="1">
      <alignment horizontal="left" vertical="center"/>
    </xf>
    <xf numFmtId="0" fontId="6" fillId="6" borderId="68" xfId="0" applyFont="1" applyFill="1" applyBorder="1" applyAlignment="1">
      <alignment horizontal="left" vertical="center"/>
    </xf>
    <xf numFmtId="0" fontId="6" fillId="6" borderId="83" xfId="0" applyFont="1" applyFill="1" applyBorder="1" applyAlignment="1">
      <alignment horizontal="left" vertical="center"/>
    </xf>
    <xf numFmtId="0" fontId="6" fillId="6" borderId="80" xfId="0" applyFont="1" applyFill="1" applyBorder="1" applyAlignment="1">
      <alignment horizontal="left" vertical="center"/>
    </xf>
    <xf numFmtId="0" fontId="18" fillId="7" borderId="68" xfId="0" applyFont="1" applyFill="1" applyBorder="1" applyAlignment="1">
      <alignment horizontal="left" vertical="center"/>
    </xf>
    <xf numFmtId="0" fontId="18" fillId="7" borderId="83" xfId="0" applyFont="1" applyFill="1" applyBorder="1" applyAlignment="1">
      <alignment horizontal="left" vertical="center"/>
    </xf>
    <xf numFmtId="0" fontId="18" fillId="7" borderId="66" xfId="0" applyFont="1" applyFill="1" applyBorder="1" applyAlignment="1">
      <alignment horizontal="left" vertical="center"/>
    </xf>
    <xf numFmtId="0" fontId="20" fillId="0" borderId="64" xfId="0" applyFont="1" applyFill="1" applyBorder="1" applyAlignment="1">
      <alignment horizontal="left" vertical="center"/>
    </xf>
    <xf numFmtId="0" fontId="20" fillId="0" borderId="63" xfId="0" applyFont="1" applyFill="1" applyBorder="1" applyAlignment="1">
      <alignment horizontal="left" vertical="center"/>
    </xf>
    <xf numFmtId="0" fontId="20" fillId="0" borderId="60" xfId="0" applyFont="1" applyFill="1" applyBorder="1" applyAlignment="1">
      <alignment horizontal="left" vertical="center"/>
    </xf>
    <xf numFmtId="0" fontId="14" fillId="0" borderId="67" xfId="0" applyFont="1" applyBorder="1" applyAlignment="1">
      <alignment horizontal="left" vertical="center"/>
    </xf>
    <xf numFmtId="0" fontId="14" fillId="0" borderId="73" xfId="0" applyFont="1" applyBorder="1" applyAlignment="1">
      <alignment horizontal="left" vertical="center"/>
    </xf>
    <xf numFmtId="0" fontId="12" fillId="2" borderId="27"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7" fillId="10" borderId="11" xfId="0" applyFont="1" applyFill="1" applyBorder="1" applyAlignment="1">
      <alignment horizontal="center" vertical="center" textRotation="90" wrapText="1"/>
    </xf>
    <xf numFmtId="0" fontId="0" fillId="11" borderId="12" xfId="0" applyFill="1" applyBorder="1" applyAlignment="1">
      <alignment vertical="center" textRotation="90"/>
    </xf>
    <xf numFmtId="0" fontId="0" fillId="11" borderId="13" xfId="0" applyFill="1" applyBorder="1" applyAlignment="1">
      <alignment vertical="center" textRotation="90"/>
    </xf>
    <xf numFmtId="0" fontId="11" fillId="10" borderId="15" xfId="0" applyFont="1" applyFill="1" applyBorder="1" applyAlignment="1">
      <alignment horizontal="center" vertical="center" textRotation="90" wrapText="1"/>
    </xf>
    <xf numFmtId="0" fontId="9" fillId="0" borderId="6" xfId="0" applyFont="1" applyBorder="1" applyAlignment="1">
      <alignment horizontal="left" vertical="center" wrapText="1"/>
    </xf>
    <xf numFmtId="0" fontId="0" fillId="0" borderId="1" xfId="0" applyBorder="1" applyAlignment="1">
      <alignment vertical="center"/>
    </xf>
    <xf numFmtId="0" fontId="7" fillId="10" borderId="19" xfId="0" applyFont="1" applyFill="1" applyBorder="1" applyAlignment="1">
      <alignment horizontal="center" vertical="center" textRotation="90" wrapText="1"/>
    </xf>
    <xf numFmtId="0" fontId="7" fillId="10" borderId="22" xfId="0" applyFont="1" applyFill="1" applyBorder="1" applyAlignment="1">
      <alignment horizontal="center" vertical="center" textRotation="90" wrapText="1"/>
    </xf>
    <xf numFmtId="0" fontId="7" fillId="10" borderId="24" xfId="0" applyFont="1" applyFill="1" applyBorder="1" applyAlignment="1">
      <alignment horizontal="center" vertical="center" textRotation="90" wrapText="1"/>
    </xf>
    <xf numFmtId="0" fontId="8" fillId="0" borderId="6" xfId="0" applyFont="1" applyBorder="1" applyAlignment="1">
      <alignment horizontal="left" vertical="center" wrapText="1"/>
    </xf>
    <xf numFmtId="0" fontId="7" fillId="10" borderId="11" xfId="0" applyFont="1" applyFill="1" applyBorder="1" applyAlignment="1">
      <alignment horizontal="center" vertical="center" textRotation="90"/>
    </xf>
    <xf numFmtId="0" fontId="0" fillId="0" borderId="68" xfId="0" quotePrefix="1" applyFont="1" applyBorder="1" applyAlignment="1">
      <alignment horizontal="left" vertical="center"/>
    </xf>
    <xf numFmtId="0" fontId="0" fillId="0" borderId="83" xfId="0" quotePrefix="1" applyFont="1" applyBorder="1" applyAlignment="1">
      <alignment horizontal="left" vertical="center"/>
    </xf>
    <xf numFmtId="0" fontId="0" fillId="0" borderId="80" xfId="0" quotePrefix="1" applyFont="1" applyBorder="1" applyAlignment="1">
      <alignment horizontal="left" vertical="center"/>
    </xf>
    <xf numFmtId="0" fontId="7" fillId="2" borderId="2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6" borderId="64" xfId="0" applyFont="1" applyFill="1" applyBorder="1" applyAlignment="1">
      <alignment horizontal="left" vertical="center"/>
    </xf>
    <xf numFmtId="0" fontId="6" fillId="6" borderId="63" xfId="0" applyFont="1" applyFill="1" applyBorder="1" applyAlignment="1">
      <alignment horizontal="left" vertical="center"/>
    </xf>
    <xf numFmtId="0" fontId="6" fillId="6" borderId="65" xfId="0" applyFont="1" applyFill="1" applyBorder="1" applyAlignment="1">
      <alignment horizontal="left" vertical="center"/>
    </xf>
    <xf numFmtId="0" fontId="6" fillId="6" borderId="67" xfId="0" applyFont="1" applyFill="1" applyBorder="1" applyAlignment="1">
      <alignment horizontal="left" vertical="center"/>
    </xf>
    <xf numFmtId="0" fontId="6" fillId="6" borderId="82" xfId="0" applyFont="1" applyFill="1" applyBorder="1" applyAlignment="1">
      <alignment horizontal="left" vertical="center"/>
    </xf>
    <xf numFmtId="0" fontId="6" fillId="6" borderId="73" xfId="0" applyFont="1" applyFill="1" applyBorder="1" applyAlignment="1">
      <alignment horizontal="left" vertical="center"/>
    </xf>
    <xf numFmtId="0" fontId="14" fillId="15" borderId="20" xfId="0" applyFont="1" applyFill="1" applyBorder="1" applyAlignment="1">
      <alignment horizontal="center" vertical="center"/>
    </xf>
    <xf numFmtId="0" fontId="0" fillId="15" borderId="18" xfId="0" applyFont="1" applyFill="1" applyBorder="1" applyAlignment="1">
      <alignment horizontal="center" vertical="center"/>
    </xf>
    <xf numFmtId="0" fontId="18" fillId="6" borderId="120" xfId="0" applyFont="1" applyFill="1" applyBorder="1" applyAlignment="1">
      <alignment horizontal="left" vertical="center"/>
    </xf>
    <xf numFmtId="0" fontId="18" fillId="6" borderId="128" xfId="0" applyFont="1" applyFill="1" applyBorder="1" applyAlignment="1">
      <alignment horizontal="left" vertical="center"/>
    </xf>
    <xf numFmtId="0" fontId="18" fillId="6" borderId="121" xfId="0" applyFont="1" applyFill="1" applyBorder="1" applyAlignment="1">
      <alignment horizontal="left" vertical="center"/>
    </xf>
    <xf numFmtId="0" fontId="18" fillId="6" borderId="67" xfId="0" applyFont="1" applyFill="1" applyBorder="1" applyAlignment="1">
      <alignment horizontal="left" vertical="center"/>
    </xf>
    <xf numFmtId="0" fontId="18" fillId="6" borderId="82" xfId="0" applyFont="1" applyFill="1" applyBorder="1" applyAlignment="1">
      <alignment horizontal="left" vertical="center"/>
    </xf>
    <xf numFmtId="0" fontId="18" fillId="6" borderId="73" xfId="0" applyFont="1" applyFill="1" applyBorder="1" applyAlignment="1">
      <alignment horizontal="left" vertical="center"/>
    </xf>
    <xf numFmtId="0" fontId="18" fillId="6" borderId="123" xfId="0" applyFont="1" applyFill="1" applyBorder="1" applyAlignment="1">
      <alignment horizontal="left" vertical="center"/>
    </xf>
    <xf numFmtId="0" fontId="18" fillId="6" borderId="112" xfId="0" applyFont="1" applyFill="1" applyBorder="1" applyAlignment="1">
      <alignment horizontal="left" vertical="center"/>
    </xf>
    <xf numFmtId="0" fontId="18" fillId="6" borderId="124" xfId="0" applyFont="1" applyFill="1" applyBorder="1" applyAlignment="1">
      <alignment horizontal="left" vertical="center"/>
    </xf>
    <xf numFmtId="0" fontId="11" fillId="9" borderId="27"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23" fillId="10" borderId="19" xfId="0" applyFont="1" applyFill="1" applyBorder="1" applyAlignment="1">
      <alignment horizontal="center" vertical="center" textRotation="90" wrapText="1"/>
    </xf>
    <xf numFmtId="0" fontId="23" fillId="10" borderId="22" xfId="0" applyFont="1" applyFill="1" applyBorder="1" applyAlignment="1">
      <alignment horizontal="center" vertical="center" textRotation="90"/>
    </xf>
    <xf numFmtId="0" fontId="23" fillId="10" borderId="24" xfId="0" applyFont="1" applyFill="1" applyBorder="1" applyAlignment="1">
      <alignment horizontal="center" vertical="center" textRotation="90"/>
    </xf>
    <xf numFmtId="0" fontId="23" fillId="10" borderId="22" xfId="0" applyFont="1" applyFill="1" applyBorder="1" applyAlignment="1">
      <alignment horizontal="center" vertical="center" textRotation="90" wrapText="1"/>
    </xf>
    <xf numFmtId="0" fontId="23" fillId="10" borderId="24" xfId="0" applyFont="1" applyFill="1" applyBorder="1" applyAlignment="1">
      <alignment horizontal="center" vertical="center" textRotation="90" wrapText="1"/>
    </xf>
    <xf numFmtId="0" fontId="23" fillId="10" borderId="74" xfId="0" applyFont="1" applyFill="1" applyBorder="1" applyAlignment="1">
      <alignment horizontal="center" vertical="center" textRotation="90" wrapText="1"/>
    </xf>
    <xf numFmtId="0" fontId="23" fillId="10" borderId="12" xfId="0" applyFont="1" applyFill="1" applyBorder="1" applyAlignment="1">
      <alignment horizontal="center" vertical="center" textRotation="90" wrapText="1"/>
    </xf>
    <xf numFmtId="0" fontId="23" fillId="10" borderId="13" xfId="0" applyFont="1" applyFill="1" applyBorder="1" applyAlignment="1">
      <alignment horizontal="center" vertical="center" textRotation="90" wrapText="1"/>
    </xf>
    <xf numFmtId="0" fontId="25" fillId="12" borderId="20" xfId="0" applyFont="1" applyFill="1" applyBorder="1" applyAlignment="1">
      <alignment horizontal="left" vertical="center"/>
    </xf>
    <xf numFmtId="0" fontId="25" fillId="14" borderId="18" xfId="0" applyFont="1" applyFill="1" applyBorder="1" applyAlignment="1">
      <alignment horizontal="left" vertical="center"/>
    </xf>
    <xf numFmtId="0" fontId="25" fillId="12" borderId="18" xfId="0" applyFont="1" applyFill="1" applyBorder="1" applyAlignment="1">
      <alignment horizontal="left" vertical="center"/>
    </xf>
    <xf numFmtId="0" fontId="14" fillId="0" borderId="18" xfId="0" quotePrefix="1" applyFont="1" applyBorder="1" applyAlignment="1">
      <alignment horizontal="left" vertical="center"/>
    </xf>
    <xf numFmtId="0" fontId="0" fillId="0" borderId="18" xfId="0" quotePrefix="1" applyBorder="1" applyAlignment="1">
      <alignment horizontal="left" vertical="center"/>
    </xf>
    <xf numFmtId="0" fontId="10" fillId="13" borderId="18" xfId="0" quotePrefix="1" applyFont="1" applyFill="1" applyBorder="1" applyAlignment="1">
      <alignment horizontal="left" vertical="center"/>
    </xf>
    <xf numFmtId="0" fontId="29" fillId="13" borderId="18" xfId="0" quotePrefix="1" applyFont="1" applyFill="1" applyBorder="1" applyAlignment="1">
      <alignment horizontal="left" vertical="center"/>
    </xf>
    <xf numFmtId="0" fontId="0" fillId="0" borderId="34" xfId="0" applyBorder="1" applyAlignment="1">
      <alignment horizontal="left" vertical="center" wrapText="1"/>
    </xf>
    <xf numFmtId="0" fontId="14" fillId="13" borderId="18" xfId="0" quotePrefix="1" applyFont="1" applyFill="1" applyBorder="1" applyAlignment="1">
      <alignment horizontal="left" vertical="center"/>
    </xf>
    <xf numFmtId="0" fontId="29" fillId="0" borderId="18" xfId="0" quotePrefix="1" applyFont="1" applyBorder="1" applyAlignment="1">
      <alignment horizontal="left" vertical="center"/>
    </xf>
    <xf numFmtId="0" fontId="24" fillId="0" borderId="18" xfId="0" quotePrefix="1" applyFont="1" applyBorder="1" applyAlignment="1">
      <alignment horizontal="left" vertical="center"/>
    </xf>
    <xf numFmtId="0" fontId="30" fillId="0" borderId="18" xfId="0" quotePrefix="1" applyFont="1" applyBorder="1" applyAlignment="1">
      <alignment horizontal="left" vertical="center"/>
    </xf>
    <xf numFmtId="0" fontId="10" fillId="0" borderId="18" xfId="0" quotePrefix="1" applyFont="1" applyBorder="1" applyAlignment="1">
      <alignment horizontal="left" vertical="center"/>
    </xf>
    <xf numFmtId="0" fontId="24" fillId="13" borderId="18" xfId="0" quotePrefix="1" applyFont="1" applyFill="1" applyBorder="1" applyAlignment="1">
      <alignment horizontal="left" vertical="center"/>
    </xf>
    <xf numFmtId="0" fontId="0" fillId="0" borderId="18" xfId="0" applyBorder="1" applyAlignment="1">
      <alignment horizontal="left" vertical="center"/>
    </xf>
    <xf numFmtId="0" fontId="24" fillId="13" borderId="18" xfId="0" quotePrefix="1" applyFont="1" applyFill="1" applyBorder="1" applyAlignment="1">
      <alignment horizontal="left" vertical="center" wrapText="1"/>
    </xf>
    <xf numFmtId="0" fontId="28" fillId="9" borderId="27" xfId="0" applyFont="1" applyFill="1" applyBorder="1" applyAlignment="1">
      <alignment horizontal="center" vertical="center" wrapText="1"/>
    </xf>
    <xf numFmtId="0" fontId="28" fillId="9" borderId="9"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14" fillId="0" borderId="18" xfId="0" applyFont="1" applyBorder="1" applyAlignment="1">
      <alignment horizontal="left" vertical="center"/>
    </xf>
    <xf numFmtId="0" fontId="3" fillId="11" borderId="19" xfId="0" applyFont="1" applyFill="1" applyBorder="1" applyAlignment="1">
      <alignment horizontal="center" vertical="center" textRotation="90"/>
    </xf>
    <xf numFmtId="0" fontId="3" fillId="11" borderId="22" xfId="0" applyFont="1" applyFill="1" applyBorder="1" applyAlignment="1">
      <alignment horizontal="center" vertical="center" textRotation="90"/>
    </xf>
    <xf numFmtId="0" fontId="3" fillId="11" borderId="24" xfId="0" applyFont="1" applyFill="1" applyBorder="1" applyAlignment="1">
      <alignment horizontal="center" vertical="center" textRotation="90"/>
    </xf>
    <xf numFmtId="0" fontId="5" fillId="11" borderId="18" xfId="0" applyFont="1" applyFill="1" applyBorder="1" applyAlignment="1">
      <alignment horizontal="left" vertical="center" wrapText="1"/>
    </xf>
    <xf numFmtId="0" fontId="0" fillId="0" borderId="34" xfId="0" applyBorder="1" applyAlignment="1">
      <alignment horizontal="left" vertical="center"/>
    </xf>
    <xf numFmtId="0" fontId="28" fillId="9" borderId="27" xfId="0" applyFont="1" applyFill="1" applyBorder="1" applyAlignment="1">
      <alignment horizontal="left" vertical="center" wrapText="1"/>
    </xf>
    <xf numFmtId="0" fontId="28" fillId="9" borderId="9" xfId="0" applyFont="1" applyFill="1" applyBorder="1" applyAlignment="1">
      <alignment horizontal="left" vertical="center" wrapText="1"/>
    </xf>
    <xf numFmtId="0" fontId="28" fillId="9" borderId="10" xfId="0" applyFont="1" applyFill="1" applyBorder="1" applyAlignment="1">
      <alignment horizontal="left" vertical="center" wrapText="1"/>
    </xf>
    <xf numFmtId="0" fontId="3" fillId="11" borderId="55" xfId="0" applyFont="1" applyFill="1" applyBorder="1" applyAlignment="1">
      <alignment horizontal="center" vertical="center" textRotation="90"/>
    </xf>
    <xf numFmtId="0" fontId="3" fillId="11" borderId="56" xfId="0" applyFont="1" applyFill="1" applyBorder="1" applyAlignment="1">
      <alignment horizontal="center" vertical="center" textRotation="90"/>
    </xf>
    <xf numFmtId="0" fontId="3" fillId="11" borderId="57" xfId="0" applyFont="1" applyFill="1" applyBorder="1" applyAlignment="1">
      <alignment horizontal="center" vertical="center" textRotation="90"/>
    </xf>
    <xf numFmtId="0" fontId="25" fillId="12" borderId="60" xfId="0" applyFont="1" applyFill="1" applyBorder="1" applyAlignment="1">
      <alignment horizontal="left" vertical="center"/>
    </xf>
    <xf numFmtId="0" fontId="25" fillId="12" borderId="35" xfId="0" applyFont="1" applyFill="1" applyBorder="1" applyAlignment="1">
      <alignment horizontal="left" vertical="center"/>
    </xf>
    <xf numFmtId="0" fontId="5" fillId="11" borderId="18" xfId="0" applyFont="1" applyFill="1" applyBorder="1" applyAlignment="1">
      <alignment horizontal="center" vertical="center" wrapText="1"/>
    </xf>
    <xf numFmtId="0" fontId="25" fillId="14" borderId="34" xfId="0" applyFont="1" applyFill="1" applyBorder="1" applyAlignment="1">
      <alignment horizontal="left" vertical="center"/>
    </xf>
    <xf numFmtId="0" fontId="25" fillId="14" borderId="82" xfId="0" applyFont="1" applyFill="1" applyBorder="1" applyAlignment="1">
      <alignment horizontal="left" vertical="center"/>
    </xf>
    <xf numFmtId="0" fontId="25" fillId="14" borderId="35" xfId="0" applyFont="1" applyFill="1" applyBorder="1" applyAlignment="1">
      <alignment horizontal="left" vertical="center"/>
    </xf>
    <xf numFmtId="0" fontId="14" fillId="0" borderId="33" xfId="0" applyFont="1" applyBorder="1" applyAlignment="1">
      <alignment horizontal="left" vertical="center"/>
    </xf>
    <xf numFmtId="0" fontId="12" fillId="10" borderId="27" xfId="0" applyFont="1" applyFill="1" applyBorder="1" applyAlignment="1">
      <alignment horizontal="center" vertical="center"/>
    </xf>
    <xf numFmtId="0" fontId="12" fillId="10" borderId="9" xfId="0" applyFont="1" applyFill="1" applyBorder="1" applyAlignment="1">
      <alignment horizontal="center" vertical="center"/>
    </xf>
    <xf numFmtId="0" fontId="12" fillId="10" borderId="10" xfId="0" applyFont="1" applyFill="1" applyBorder="1" applyAlignment="1">
      <alignment horizontal="center" vertical="center"/>
    </xf>
    <xf numFmtId="0" fontId="28" fillId="9" borderId="27" xfId="0" applyFont="1" applyFill="1" applyBorder="1" applyAlignment="1">
      <alignment horizontal="left" vertical="center"/>
    </xf>
    <xf numFmtId="0" fontId="28" fillId="9" borderId="9" xfId="0" applyFont="1" applyFill="1" applyBorder="1" applyAlignment="1">
      <alignment horizontal="left" vertical="center"/>
    </xf>
    <xf numFmtId="0" fontId="28" fillId="9" borderId="10" xfId="0" applyFont="1" applyFill="1" applyBorder="1" applyAlignment="1">
      <alignment horizontal="left" vertical="center"/>
    </xf>
    <xf numFmtId="0" fontId="14" fillId="0" borderId="31" xfId="0" applyFont="1" applyBorder="1" applyAlignment="1">
      <alignment horizontal="left" vertical="center"/>
    </xf>
    <xf numFmtId="0" fontId="28" fillId="11" borderId="34" xfId="0" applyFont="1" applyFill="1" applyBorder="1" applyAlignment="1">
      <alignment horizontal="left"/>
    </xf>
    <xf numFmtId="0" fontId="28" fillId="11" borderId="82" xfId="0" applyFont="1" applyFill="1" applyBorder="1" applyAlignment="1">
      <alignment horizontal="left"/>
    </xf>
    <xf numFmtId="0" fontId="28" fillId="11" borderId="35" xfId="0" applyFont="1" applyFill="1" applyBorder="1" applyAlignment="1">
      <alignment horizontal="left"/>
    </xf>
    <xf numFmtId="0" fontId="3" fillId="0" borderId="34" xfId="0" applyFont="1" applyBorder="1" applyAlignment="1">
      <alignment horizontal="left"/>
    </xf>
    <xf numFmtId="0" fontId="3" fillId="0" borderId="82" xfId="0" applyFont="1" applyBorder="1" applyAlignment="1">
      <alignment horizontal="left"/>
    </xf>
    <xf numFmtId="0" fontId="3" fillId="0" borderId="35" xfId="0" applyFont="1" applyBorder="1" applyAlignment="1">
      <alignment horizontal="left"/>
    </xf>
    <xf numFmtId="0" fontId="14" fillId="0" borderId="18" xfId="0" applyFont="1" applyBorder="1" applyAlignment="1">
      <alignment horizontal="left"/>
    </xf>
    <xf numFmtId="0" fontId="14" fillId="0" borderId="18" xfId="0" quotePrefix="1" applyFont="1" applyBorder="1" applyAlignment="1">
      <alignment horizontal="center"/>
    </xf>
    <xf numFmtId="0" fontId="3" fillId="11" borderId="34" xfId="0" applyFont="1" applyFill="1" applyBorder="1" applyAlignment="1">
      <alignment horizontal="center"/>
    </xf>
    <xf numFmtId="0" fontId="3" fillId="11" borderId="82" xfId="0" applyFont="1" applyFill="1" applyBorder="1" applyAlignment="1">
      <alignment horizontal="center"/>
    </xf>
    <xf numFmtId="0" fontId="3" fillId="11" borderId="35" xfId="0" applyFont="1" applyFill="1" applyBorder="1" applyAlignment="1">
      <alignment horizontal="center"/>
    </xf>
    <xf numFmtId="0" fontId="65" fillId="6" borderId="22" xfId="0" applyFont="1" applyFill="1" applyBorder="1" applyAlignment="1">
      <alignment horizontal="left" vertical="center"/>
    </xf>
    <xf numFmtId="0" fontId="65" fillId="6" borderId="18" xfId="0" applyFont="1" applyFill="1" applyBorder="1" applyAlignment="1">
      <alignment horizontal="left" vertical="center"/>
    </xf>
    <xf numFmtId="0" fontId="65" fillId="6" borderId="34" xfId="0" applyFont="1" applyFill="1" applyBorder="1" applyAlignment="1">
      <alignment horizontal="left" vertical="center"/>
    </xf>
    <xf numFmtId="0" fontId="65" fillId="6" borderId="24" xfId="0" applyFont="1" applyFill="1" applyBorder="1" applyAlignment="1">
      <alignment horizontal="left" vertical="center"/>
    </xf>
    <xf numFmtId="0" fontId="65" fillId="6" borderId="25" xfId="0" applyFont="1" applyFill="1" applyBorder="1" applyAlignment="1">
      <alignment horizontal="left" vertical="center"/>
    </xf>
    <xf numFmtId="0" fontId="65" fillId="6" borderId="51" xfId="0" applyFont="1" applyFill="1" applyBorder="1" applyAlignment="1">
      <alignment horizontal="left" vertical="center"/>
    </xf>
    <xf numFmtId="0" fontId="65" fillId="6" borderId="58" xfId="0" applyFont="1" applyFill="1" applyBorder="1" applyAlignment="1">
      <alignment horizontal="left" vertical="center"/>
    </xf>
    <xf numFmtId="0" fontId="65" fillId="6" borderId="33" xfId="0" applyFont="1" applyFill="1" applyBorder="1" applyAlignment="1">
      <alignment horizontal="left" vertical="center"/>
    </xf>
    <xf numFmtId="0" fontId="65" fillId="6" borderId="46" xfId="0" applyFont="1" applyFill="1" applyBorder="1" applyAlignment="1">
      <alignment horizontal="left" vertical="center"/>
    </xf>
  </cellXfs>
  <cellStyles count="11">
    <cellStyle name="Comma 2" xfId="8"/>
    <cellStyle name="Comma 3" xfId="6"/>
    <cellStyle name="Comma 4" xfId="4"/>
    <cellStyle name="Lien hypertexte" xfId="10" builtinId="8"/>
    <cellStyle name="Milliers" xfId="1" builtinId="3"/>
    <cellStyle name="Normal" xfId="0" builtinId="0"/>
    <cellStyle name="Normal 2" xfId="2"/>
    <cellStyle name="Percent 2" xfId="9"/>
    <cellStyle name="Percent 3" xfId="7"/>
    <cellStyle name="Percent 4" xfId="5"/>
    <cellStyle name="Pourcentage" xfId="3" builtinId="5"/>
  </cellStyles>
  <dxfs count="16">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ndense val="0"/>
        <extend val="0"/>
        <color rgb="FF006100"/>
      </font>
      <fill>
        <patternFill>
          <bgColor rgb="FFC6EFCE"/>
        </patternFill>
      </fill>
    </dxf>
    <dxf>
      <font>
        <color theme="9" tint="-0.24994659260841701"/>
      </font>
      <fill>
        <patternFill>
          <bgColor theme="9" tint="0.59996337778862885"/>
        </patternFill>
      </fill>
    </dxf>
    <dxf>
      <font>
        <condense val="0"/>
        <extend val="0"/>
        <color rgb="FF006100"/>
      </font>
      <fill>
        <patternFill>
          <bgColor rgb="FFC6EFCE"/>
        </patternFill>
      </fill>
    </dxf>
    <dxf>
      <font>
        <color theme="9" tint="-0.24994659260841701"/>
      </font>
      <fill>
        <patternFill>
          <bgColor theme="9" tint="0.59996337778862885"/>
        </patternFill>
      </fill>
    </dxf>
    <dxf>
      <font>
        <condense val="0"/>
        <extend val="0"/>
        <color rgb="FF006100"/>
      </font>
      <fill>
        <patternFill>
          <bgColor rgb="FFC6EFCE"/>
        </patternFill>
      </fill>
    </dxf>
    <dxf>
      <font>
        <color theme="9" tint="-0.24994659260841701"/>
      </font>
      <fill>
        <patternFill>
          <bgColor theme="9" tint="0.59996337778862885"/>
        </patternFill>
      </fill>
    </dxf>
    <dxf>
      <font>
        <condense val="0"/>
        <extend val="0"/>
        <color rgb="FF006100"/>
      </font>
      <fill>
        <patternFill>
          <bgColor rgb="FFC6EFCE"/>
        </patternFill>
      </fill>
    </dxf>
    <dxf>
      <font>
        <color theme="9" tint="-0.24994659260841701"/>
      </font>
      <fill>
        <patternFill>
          <bgColor theme="9"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12</xdr:col>
      <xdr:colOff>447675</xdr:colOff>
      <xdr:row>18</xdr:row>
      <xdr:rowOff>0</xdr:rowOff>
    </xdr:to>
    <xdr:sp macro="" textlink="">
      <xdr:nvSpPr>
        <xdr:cNvPr id="1034" name="Rectangle 10"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2" name="AutoShape 10"/>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3" name="AutoShape 10"/>
        <xdr:cNvSpPr>
          <a:spLocks noChangeArrowheads="1"/>
        </xdr:cNvSpPr>
      </xdr:nvSpPr>
      <xdr:spPr bwMode="auto">
        <a:xfrm>
          <a:off x="0" y="0"/>
          <a:ext cx="1194435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4" name="AutoShape 10"/>
        <xdr:cNvSpPr>
          <a:spLocks noChangeArrowheads="1"/>
        </xdr:cNvSpPr>
      </xdr:nvSpPr>
      <xdr:spPr bwMode="auto">
        <a:xfrm>
          <a:off x="0" y="0"/>
          <a:ext cx="11944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5" name="AutoShape 10"/>
        <xdr:cNvSpPr>
          <a:spLocks noChangeArrowheads="1"/>
        </xdr:cNvSpPr>
      </xdr:nvSpPr>
      <xdr:spPr bwMode="auto">
        <a:xfrm>
          <a:off x="0" y="0"/>
          <a:ext cx="11944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6" name="AutoShape 10"/>
        <xdr:cNvSpPr>
          <a:spLocks noChangeArrowheads="1"/>
        </xdr:cNvSpPr>
      </xdr:nvSpPr>
      <xdr:spPr bwMode="auto">
        <a:xfrm>
          <a:off x="0" y="0"/>
          <a:ext cx="11944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7" name="AutoShape 10"/>
        <xdr:cNvSpPr>
          <a:spLocks noChangeArrowheads="1"/>
        </xdr:cNvSpPr>
      </xdr:nvSpPr>
      <xdr:spPr bwMode="auto">
        <a:xfrm>
          <a:off x="0" y="0"/>
          <a:ext cx="1194435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8" name="AutoShape 10"/>
        <xdr:cNvSpPr>
          <a:spLocks noChangeArrowheads="1"/>
        </xdr:cNvSpPr>
      </xdr:nvSpPr>
      <xdr:spPr bwMode="auto">
        <a:xfrm>
          <a:off x="0" y="0"/>
          <a:ext cx="11944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9" name="AutoShape 10"/>
        <xdr:cNvSpPr>
          <a:spLocks noChangeArrowheads="1"/>
        </xdr:cNvSpPr>
      </xdr:nvSpPr>
      <xdr:spPr bwMode="auto">
        <a:xfrm>
          <a:off x="0" y="0"/>
          <a:ext cx="11944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10" name="AutoShape 10"/>
        <xdr:cNvSpPr>
          <a:spLocks noChangeArrowheads="1"/>
        </xdr:cNvSpPr>
      </xdr:nvSpPr>
      <xdr:spPr bwMode="auto">
        <a:xfrm>
          <a:off x="0" y="0"/>
          <a:ext cx="11944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11" name="AutoShape 10"/>
        <xdr:cNvSpPr>
          <a:spLocks noChangeArrowheads="1"/>
        </xdr:cNvSpPr>
      </xdr:nvSpPr>
      <xdr:spPr bwMode="auto">
        <a:xfrm>
          <a:off x="0" y="0"/>
          <a:ext cx="11944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12</xdr:col>
      <xdr:colOff>447675</xdr:colOff>
      <xdr:row>18</xdr:row>
      <xdr:rowOff>0</xdr:rowOff>
    </xdr:to>
    <xdr:sp macro="" textlink="">
      <xdr:nvSpPr>
        <xdr:cNvPr id="12" name="AutoShape 10"/>
        <xdr:cNvSpPr>
          <a:spLocks noChangeArrowheads="1"/>
        </xdr:cNvSpPr>
      </xdr:nvSpPr>
      <xdr:spPr bwMode="auto">
        <a:xfrm>
          <a:off x="0" y="0"/>
          <a:ext cx="1203960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3" name="AutoShape 10"/>
        <xdr:cNvSpPr>
          <a:spLocks noChangeArrowheads="1"/>
        </xdr:cNvSpPr>
      </xdr:nvSpPr>
      <xdr:spPr bwMode="auto">
        <a:xfrm>
          <a:off x="0" y="0"/>
          <a:ext cx="78676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4" name="AutoShape 10"/>
        <xdr:cNvSpPr>
          <a:spLocks noChangeArrowheads="1"/>
        </xdr:cNvSpPr>
      </xdr:nvSpPr>
      <xdr:spPr bwMode="auto">
        <a:xfrm>
          <a:off x="0" y="0"/>
          <a:ext cx="7705725"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5" name="AutoShape 10"/>
        <xdr:cNvSpPr>
          <a:spLocks noChangeArrowheads="1"/>
        </xdr:cNvSpPr>
      </xdr:nvSpPr>
      <xdr:spPr bwMode="auto">
        <a:xfrm>
          <a:off x="0" y="0"/>
          <a:ext cx="7705725"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2296" name="AutoShape 8"/>
        <xdr:cNvSpPr>
          <a:spLocks noChangeArrowheads="1"/>
        </xdr:cNvSpPr>
      </xdr:nvSpPr>
      <xdr:spPr bwMode="auto">
        <a:xfrm>
          <a:off x="0" y="0"/>
          <a:ext cx="775335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6"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7" name="AutoShape 8"/>
        <xdr:cNvSpPr>
          <a:spLocks noChangeArrowheads="1"/>
        </xdr:cNvSpPr>
      </xdr:nvSpPr>
      <xdr:spPr bwMode="auto">
        <a:xfrm>
          <a:off x="0" y="0"/>
          <a:ext cx="775335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8"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9"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0"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1"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2"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3"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4"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5"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6" name="AutoShape 8"/>
        <xdr:cNvSpPr>
          <a:spLocks noChangeArrowheads="1"/>
        </xdr:cNvSpPr>
      </xdr:nvSpPr>
      <xdr:spPr bwMode="auto">
        <a:xfrm>
          <a:off x="0" y="0"/>
          <a:ext cx="775335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7" name="AutoShape 8"/>
        <xdr:cNvSpPr>
          <a:spLocks noChangeArrowheads="1"/>
        </xdr:cNvSpPr>
      </xdr:nvSpPr>
      <xdr:spPr bwMode="auto">
        <a:xfrm>
          <a:off x="0" y="0"/>
          <a:ext cx="769620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8" name="AutoShape 8"/>
        <xdr:cNvSpPr>
          <a:spLocks noChangeArrowheads="1"/>
        </xdr:cNvSpPr>
      </xdr:nvSpPr>
      <xdr:spPr bwMode="auto">
        <a:xfrm>
          <a:off x="0" y="0"/>
          <a:ext cx="769620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29" name="AutoShape 8"/>
        <xdr:cNvSpPr>
          <a:spLocks noChangeArrowheads="1"/>
        </xdr:cNvSpPr>
      </xdr:nvSpPr>
      <xdr:spPr bwMode="auto">
        <a:xfrm>
          <a:off x="0" y="0"/>
          <a:ext cx="769620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30" name="AutoShape 8"/>
        <xdr:cNvSpPr>
          <a:spLocks noChangeArrowheads="1"/>
        </xdr:cNvSpPr>
      </xdr:nvSpPr>
      <xdr:spPr bwMode="auto">
        <a:xfrm>
          <a:off x="0" y="0"/>
          <a:ext cx="769620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31" name="AutoShape 8"/>
        <xdr:cNvSpPr>
          <a:spLocks noChangeArrowheads="1"/>
        </xdr:cNvSpPr>
      </xdr:nvSpPr>
      <xdr:spPr bwMode="auto">
        <a:xfrm>
          <a:off x="0" y="0"/>
          <a:ext cx="769620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24" name="AutoShape 8"/>
        <xdr:cNvSpPr>
          <a:spLocks noChangeArrowheads="1"/>
        </xdr:cNvSpPr>
      </xdr:nvSpPr>
      <xdr:spPr bwMode="auto">
        <a:xfrm>
          <a:off x="0" y="0"/>
          <a:ext cx="769620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25" name="AutoShape 8"/>
        <xdr:cNvSpPr>
          <a:spLocks noChangeArrowheads="1"/>
        </xdr:cNvSpPr>
      </xdr:nvSpPr>
      <xdr:spPr bwMode="auto">
        <a:xfrm>
          <a:off x="0" y="0"/>
          <a:ext cx="769620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26" name="AutoShape 8"/>
        <xdr:cNvSpPr>
          <a:spLocks noChangeArrowheads="1"/>
        </xdr:cNvSpPr>
      </xdr:nvSpPr>
      <xdr:spPr bwMode="auto">
        <a:xfrm>
          <a:off x="0" y="0"/>
          <a:ext cx="769620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27" name="AutoShape 8"/>
        <xdr:cNvSpPr>
          <a:spLocks noChangeArrowheads="1"/>
        </xdr:cNvSpPr>
      </xdr:nvSpPr>
      <xdr:spPr bwMode="auto">
        <a:xfrm>
          <a:off x="0" y="0"/>
          <a:ext cx="769620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28" name="AutoShape 8"/>
        <xdr:cNvSpPr>
          <a:spLocks noChangeArrowheads="1"/>
        </xdr:cNvSpPr>
      </xdr:nvSpPr>
      <xdr:spPr bwMode="auto">
        <a:xfrm>
          <a:off x="0" y="0"/>
          <a:ext cx="769620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29" name="AutoShape 8"/>
        <xdr:cNvSpPr>
          <a:spLocks noChangeArrowheads="1"/>
        </xdr:cNvSpPr>
      </xdr:nvSpPr>
      <xdr:spPr bwMode="auto">
        <a:xfrm>
          <a:off x="0" y="0"/>
          <a:ext cx="769620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30" name="AutoShape 8"/>
        <xdr:cNvSpPr>
          <a:spLocks noChangeArrowheads="1"/>
        </xdr:cNvSpPr>
      </xdr:nvSpPr>
      <xdr:spPr bwMode="auto">
        <a:xfrm>
          <a:off x="0" y="0"/>
          <a:ext cx="769620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31" name="AutoShape 8"/>
        <xdr:cNvSpPr>
          <a:spLocks noChangeArrowheads="1"/>
        </xdr:cNvSpPr>
      </xdr:nvSpPr>
      <xdr:spPr bwMode="auto">
        <a:xfrm>
          <a:off x="0" y="0"/>
          <a:ext cx="769620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32" name="AutoShape 8"/>
        <xdr:cNvSpPr>
          <a:spLocks noChangeArrowheads="1"/>
        </xdr:cNvSpPr>
      </xdr:nvSpPr>
      <xdr:spPr bwMode="auto">
        <a:xfrm>
          <a:off x="0" y="0"/>
          <a:ext cx="769620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33" name="AutoShape 8"/>
        <xdr:cNvSpPr>
          <a:spLocks noChangeArrowheads="1"/>
        </xdr:cNvSpPr>
      </xdr:nvSpPr>
      <xdr:spPr bwMode="auto">
        <a:xfrm>
          <a:off x="0" y="0"/>
          <a:ext cx="7696200" cy="3600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35" name="AutoShape 8"/>
        <xdr:cNvSpPr>
          <a:spLocks noChangeArrowheads="1"/>
        </xdr:cNvSpPr>
      </xdr:nvSpPr>
      <xdr:spPr bwMode="auto">
        <a:xfrm>
          <a:off x="0" y="0"/>
          <a:ext cx="769620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36" name="AutoShape 8"/>
        <xdr:cNvSpPr>
          <a:spLocks noChangeArrowheads="1"/>
        </xdr:cNvSpPr>
      </xdr:nvSpPr>
      <xdr:spPr bwMode="auto">
        <a:xfrm>
          <a:off x="0" y="0"/>
          <a:ext cx="7696200" cy="360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11</xdr:col>
      <xdr:colOff>447675</xdr:colOff>
      <xdr:row>18</xdr:row>
      <xdr:rowOff>0</xdr:rowOff>
    </xdr:to>
    <xdr:sp macro="" textlink="">
      <xdr:nvSpPr>
        <xdr:cNvPr id="1037" name="AutoShape 8"/>
        <xdr:cNvSpPr>
          <a:spLocks noChangeArrowheads="1"/>
        </xdr:cNvSpPr>
      </xdr:nvSpPr>
      <xdr:spPr bwMode="auto">
        <a:xfrm>
          <a:off x="0" y="0"/>
          <a:ext cx="8001000" cy="360045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19</xdr:row>
      <xdr:rowOff>447675</xdr:rowOff>
    </xdr:to>
    <xdr:sp macro="" textlink="">
      <xdr:nvSpPr>
        <xdr:cNvPr id="2054" name="Rectangle 6"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2" name="AutoShape 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3" name="AutoShape 6"/>
        <xdr:cNvSpPr>
          <a:spLocks noChangeArrowheads="1"/>
        </xdr:cNvSpPr>
      </xdr:nvSpPr>
      <xdr:spPr bwMode="auto">
        <a:xfrm>
          <a:off x="0" y="0"/>
          <a:ext cx="95250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4" name="AutoShape 6"/>
        <xdr:cNvSpPr>
          <a:spLocks noChangeArrowheads="1"/>
        </xdr:cNvSpPr>
      </xdr:nvSpPr>
      <xdr:spPr bwMode="auto">
        <a:xfrm>
          <a:off x="0" y="0"/>
          <a:ext cx="95250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5" name="AutoShape 6"/>
        <xdr:cNvSpPr>
          <a:spLocks noChangeArrowheads="1"/>
        </xdr:cNvSpPr>
      </xdr:nvSpPr>
      <xdr:spPr bwMode="auto">
        <a:xfrm>
          <a:off x="0" y="0"/>
          <a:ext cx="95250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6" name="AutoShape 6"/>
        <xdr:cNvSpPr>
          <a:spLocks noChangeArrowheads="1"/>
        </xdr:cNvSpPr>
      </xdr:nvSpPr>
      <xdr:spPr bwMode="auto">
        <a:xfrm>
          <a:off x="0" y="0"/>
          <a:ext cx="95250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7" name="AutoShape 6"/>
        <xdr:cNvSpPr>
          <a:spLocks noChangeArrowheads="1"/>
        </xdr:cNvSpPr>
      </xdr:nvSpPr>
      <xdr:spPr bwMode="auto">
        <a:xfrm>
          <a:off x="0" y="0"/>
          <a:ext cx="95250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8" name="AutoShape 6"/>
        <xdr:cNvSpPr>
          <a:spLocks noChangeArrowheads="1"/>
        </xdr:cNvSpPr>
      </xdr:nvSpPr>
      <xdr:spPr bwMode="auto">
        <a:xfrm>
          <a:off x="0" y="0"/>
          <a:ext cx="95250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9" name="AutoShape 6"/>
        <xdr:cNvSpPr>
          <a:spLocks noChangeArrowheads="1"/>
        </xdr:cNvSpPr>
      </xdr:nvSpPr>
      <xdr:spPr bwMode="auto">
        <a:xfrm>
          <a:off x="0" y="0"/>
          <a:ext cx="95250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10" name="AutoShape 6"/>
        <xdr:cNvSpPr>
          <a:spLocks noChangeArrowheads="1"/>
        </xdr:cNvSpPr>
      </xdr:nvSpPr>
      <xdr:spPr bwMode="auto">
        <a:xfrm>
          <a:off x="0" y="0"/>
          <a:ext cx="95250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11" name="AutoShape 6"/>
        <xdr:cNvSpPr>
          <a:spLocks noChangeArrowheads="1"/>
        </xdr:cNvSpPr>
      </xdr:nvSpPr>
      <xdr:spPr bwMode="auto">
        <a:xfrm>
          <a:off x="0" y="0"/>
          <a:ext cx="95250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0</xdr:colOff>
      <xdr:row>19</xdr:row>
      <xdr:rowOff>447675</xdr:rowOff>
    </xdr:to>
    <xdr:sp macro="" textlink="">
      <xdr:nvSpPr>
        <xdr:cNvPr id="12" name="AutoShape 6"/>
        <xdr:cNvSpPr>
          <a:spLocks noChangeArrowheads="1"/>
        </xdr:cNvSpPr>
      </xdr:nvSpPr>
      <xdr:spPr bwMode="auto">
        <a:xfrm>
          <a:off x="0" y="0"/>
          <a:ext cx="95250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13" name="AutoShape 6"/>
        <xdr:cNvSpPr>
          <a:spLocks noChangeArrowheads="1"/>
        </xdr:cNvSpPr>
      </xdr:nvSpPr>
      <xdr:spPr bwMode="auto">
        <a:xfrm>
          <a:off x="0" y="0"/>
          <a:ext cx="5781675" cy="3829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14" name="AutoShape 6"/>
        <xdr:cNvSpPr>
          <a:spLocks noChangeArrowheads="1"/>
        </xdr:cNvSpPr>
      </xdr:nvSpPr>
      <xdr:spPr bwMode="auto">
        <a:xfrm>
          <a:off x="0" y="0"/>
          <a:ext cx="5781675" cy="3829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15" name="AutoShape 6"/>
        <xdr:cNvSpPr>
          <a:spLocks noChangeArrowheads="1"/>
        </xdr:cNvSpPr>
      </xdr:nvSpPr>
      <xdr:spPr bwMode="auto">
        <a:xfrm>
          <a:off x="0" y="0"/>
          <a:ext cx="5781675" cy="3829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16" name="AutoShape 6"/>
        <xdr:cNvSpPr>
          <a:spLocks noChangeArrowheads="1"/>
        </xdr:cNvSpPr>
      </xdr:nvSpPr>
      <xdr:spPr bwMode="auto">
        <a:xfrm>
          <a:off x="0" y="0"/>
          <a:ext cx="6153150" cy="3162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17" name="AutoShape 6"/>
        <xdr:cNvSpPr>
          <a:spLocks noChangeArrowheads="1"/>
        </xdr:cNvSpPr>
      </xdr:nvSpPr>
      <xdr:spPr bwMode="auto">
        <a:xfrm>
          <a:off x="0" y="0"/>
          <a:ext cx="6153150" cy="3162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18" name="AutoShape 6"/>
        <xdr:cNvSpPr>
          <a:spLocks noChangeArrowheads="1"/>
        </xdr:cNvSpPr>
      </xdr:nvSpPr>
      <xdr:spPr bwMode="auto">
        <a:xfrm>
          <a:off x="0" y="0"/>
          <a:ext cx="7096125" cy="387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19" name="AutoShape 6"/>
        <xdr:cNvSpPr>
          <a:spLocks noChangeArrowheads="1"/>
        </xdr:cNvSpPr>
      </xdr:nvSpPr>
      <xdr:spPr bwMode="auto">
        <a:xfrm>
          <a:off x="0" y="0"/>
          <a:ext cx="7096125" cy="387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0" name="AutoShape 6"/>
        <xdr:cNvSpPr>
          <a:spLocks noChangeArrowheads="1"/>
        </xdr:cNvSpPr>
      </xdr:nvSpPr>
      <xdr:spPr bwMode="auto">
        <a:xfrm>
          <a:off x="0" y="0"/>
          <a:ext cx="7096125" cy="387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1" name="AutoShape 6"/>
        <xdr:cNvSpPr>
          <a:spLocks noChangeArrowheads="1"/>
        </xdr:cNvSpPr>
      </xdr:nvSpPr>
      <xdr:spPr bwMode="auto">
        <a:xfrm>
          <a:off x="0" y="0"/>
          <a:ext cx="7096125" cy="387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2" name="AutoShape 6"/>
        <xdr:cNvSpPr>
          <a:spLocks noChangeArrowheads="1"/>
        </xdr:cNvSpPr>
      </xdr:nvSpPr>
      <xdr:spPr bwMode="auto">
        <a:xfrm>
          <a:off x="0" y="0"/>
          <a:ext cx="6057900" cy="3914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3" name="AutoShape 6"/>
        <xdr:cNvSpPr>
          <a:spLocks noChangeArrowheads="1"/>
        </xdr:cNvSpPr>
      </xdr:nvSpPr>
      <xdr:spPr bwMode="auto">
        <a:xfrm>
          <a:off x="0" y="0"/>
          <a:ext cx="6057900" cy="3895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4" name="AutoShape 6"/>
        <xdr:cNvSpPr>
          <a:spLocks noChangeArrowheads="1"/>
        </xdr:cNvSpPr>
      </xdr:nvSpPr>
      <xdr:spPr bwMode="auto">
        <a:xfrm>
          <a:off x="0" y="0"/>
          <a:ext cx="6057900" cy="3895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5" name="AutoShape 6"/>
        <xdr:cNvSpPr>
          <a:spLocks noChangeArrowheads="1"/>
        </xdr:cNvSpPr>
      </xdr:nvSpPr>
      <xdr:spPr bwMode="auto">
        <a:xfrm>
          <a:off x="0" y="0"/>
          <a:ext cx="6057900" cy="3895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6" name="AutoShape 6"/>
        <xdr:cNvSpPr>
          <a:spLocks noChangeArrowheads="1"/>
        </xdr:cNvSpPr>
      </xdr:nvSpPr>
      <xdr:spPr bwMode="auto">
        <a:xfrm>
          <a:off x="0" y="0"/>
          <a:ext cx="6057900" cy="3895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7" name="AutoShape 6"/>
        <xdr:cNvSpPr>
          <a:spLocks noChangeArrowheads="1"/>
        </xdr:cNvSpPr>
      </xdr:nvSpPr>
      <xdr:spPr bwMode="auto">
        <a:xfrm>
          <a:off x="0" y="0"/>
          <a:ext cx="6057900" cy="3895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8" name="AutoShape 6"/>
        <xdr:cNvSpPr>
          <a:spLocks noChangeArrowheads="1"/>
        </xdr:cNvSpPr>
      </xdr:nvSpPr>
      <xdr:spPr bwMode="auto">
        <a:xfrm>
          <a:off x="0" y="0"/>
          <a:ext cx="6057900" cy="3895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9" name="AutoShape 6"/>
        <xdr:cNvSpPr>
          <a:spLocks noChangeArrowheads="1"/>
        </xdr:cNvSpPr>
      </xdr:nvSpPr>
      <xdr:spPr bwMode="auto">
        <a:xfrm>
          <a:off x="0" y="0"/>
          <a:ext cx="6057900" cy="3895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30" name="AutoShape 6"/>
        <xdr:cNvSpPr>
          <a:spLocks noChangeArrowheads="1"/>
        </xdr:cNvSpPr>
      </xdr:nvSpPr>
      <xdr:spPr bwMode="auto">
        <a:xfrm>
          <a:off x="0" y="0"/>
          <a:ext cx="6057900" cy="3895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31" name="AutoShape 6"/>
        <xdr:cNvSpPr>
          <a:spLocks noChangeArrowheads="1"/>
        </xdr:cNvSpPr>
      </xdr:nvSpPr>
      <xdr:spPr bwMode="auto">
        <a:xfrm>
          <a:off x="0" y="0"/>
          <a:ext cx="6057900" cy="3895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048" name="AutoShape 6"/>
        <xdr:cNvSpPr>
          <a:spLocks noChangeArrowheads="1"/>
        </xdr:cNvSpPr>
      </xdr:nvSpPr>
      <xdr:spPr bwMode="auto">
        <a:xfrm>
          <a:off x="0" y="0"/>
          <a:ext cx="6057900" cy="3476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049" name="AutoShape 6"/>
        <xdr:cNvSpPr>
          <a:spLocks noChangeArrowheads="1"/>
        </xdr:cNvSpPr>
      </xdr:nvSpPr>
      <xdr:spPr bwMode="auto">
        <a:xfrm>
          <a:off x="0" y="0"/>
          <a:ext cx="6057900" cy="3476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050" name="AutoShape 6"/>
        <xdr:cNvSpPr>
          <a:spLocks noChangeArrowheads="1"/>
        </xdr:cNvSpPr>
      </xdr:nvSpPr>
      <xdr:spPr bwMode="auto">
        <a:xfrm>
          <a:off x="0" y="0"/>
          <a:ext cx="6238875" cy="3476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051" name="AutoShape 6"/>
        <xdr:cNvSpPr>
          <a:spLocks noChangeArrowheads="1"/>
        </xdr:cNvSpPr>
      </xdr:nvSpPr>
      <xdr:spPr bwMode="auto">
        <a:xfrm>
          <a:off x="0" y="0"/>
          <a:ext cx="6238875" cy="3476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052" name="AutoShape 6"/>
        <xdr:cNvSpPr>
          <a:spLocks noChangeArrowheads="1"/>
        </xdr:cNvSpPr>
      </xdr:nvSpPr>
      <xdr:spPr bwMode="auto">
        <a:xfrm>
          <a:off x="0" y="0"/>
          <a:ext cx="6238875" cy="3476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053" name="AutoShape 6"/>
        <xdr:cNvSpPr>
          <a:spLocks noChangeArrowheads="1"/>
        </xdr:cNvSpPr>
      </xdr:nvSpPr>
      <xdr:spPr bwMode="auto">
        <a:xfrm>
          <a:off x="0" y="0"/>
          <a:ext cx="6238875" cy="3476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19</xdr:row>
      <xdr:rowOff>447675</xdr:rowOff>
    </xdr:to>
    <xdr:sp macro="" textlink="">
      <xdr:nvSpPr>
        <xdr:cNvPr id="2055" name="AutoShape 6"/>
        <xdr:cNvSpPr>
          <a:spLocks noChangeArrowheads="1"/>
        </xdr:cNvSpPr>
      </xdr:nvSpPr>
      <xdr:spPr bwMode="auto">
        <a:xfrm>
          <a:off x="0" y="0"/>
          <a:ext cx="6238875" cy="3476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20</xdr:row>
      <xdr:rowOff>0</xdr:rowOff>
    </xdr:to>
    <xdr:sp macro="" textlink="">
      <xdr:nvSpPr>
        <xdr:cNvPr id="2056" name="AutoShape 6"/>
        <xdr:cNvSpPr>
          <a:spLocks noChangeArrowheads="1"/>
        </xdr:cNvSpPr>
      </xdr:nvSpPr>
      <xdr:spPr bwMode="auto">
        <a:xfrm>
          <a:off x="0" y="0"/>
          <a:ext cx="6238875" cy="3686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20</xdr:row>
      <xdr:rowOff>0</xdr:rowOff>
    </xdr:to>
    <xdr:sp macro="" textlink="">
      <xdr:nvSpPr>
        <xdr:cNvPr id="2057" name="AutoShape 6"/>
        <xdr:cNvSpPr>
          <a:spLocks noChangeArrowheads="1"/>
        </xdr:cNvSpPr>
      </xdr:nvSpPr>
      <xdr:spPr bwMode="auto">
        <a:xfrm>
          <a:off x="0" y="0"/>
          <a:ext cx="6238875" cy="3686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20</xdr:row>
      <xdr:rowOff>0</xdr:rowOff>
    </xdr:to>
    <xdr:sp macro="" textlink="">
      <xdr:nvSpPr>
        <xdr:cNvPr id="2058" name="AutoShape 6"/>
        <xdr:cNvSpPr>
          <a:spLocks noChangeArrowheads="1"/>
        </xdr:cNvSpPr>
      </xdr:nvSpPr>
      <xdr:spPr bwMode="auto">
        <a:xfrm>
          <a:off x="0" y="0"/>
          <a:ext cx="6238875" cy="36861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20</xdr:row>
      <xdr:rowOff>0</xdr:rowOff>
    </xdr:to>
    <xdr:sp macro="" textlink="">
      <xdr:nvSpPr>
        <xdr:cNvPr id="2059" name="AutoShape 6"/>
        <xdr:cNvSpPr>
          <a:spLocks noChangeArrowheads="1"/>
        </xdr:cNvSpPr>
      </xdr:nvSpPr>
      <xdr:spPr bwMode="auto">
        <a:xfrm>
          <a:off x="0" y="0"/>
          <a:ext cx="6238875" cy="36861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20</xdr:row>
      <xdr:rowOff>0</xdr:rowOff>
    </xdr:to>
    <xdr:sp macro="" textlink="">
      <xdr:nvSpPr>
        <xdr:cNvPr id="2060" name="AutoShape 6"/>
        <xdr:cNvSpPr>
          <a:spLocks noChangeArrowheads="1"/>
        </xdr:cNvSpPr>
      </xdr:nvSpPr>
      <xdr:spPr bwMode="auto">
        <a:xfrm>
          <a:off x="0" y="0"/>
          <a:ext cx="6238875" cy="3686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20</xdr:row>
      <xdr:rowOff>0</xdr:rowOff>
    </xdr:to>
    <xdr:sp macro="" textlink="">
      <xdr:nvSpPr>
        <xdr:cNvPr id="2061" name="AutoShape 6"/>
        <xdr:cNvSpPr>
          <a:spLocks noChangeArrowheads="1"/>
        </xdr:cNvSpPr>
      </xdr:nvSpPr>
      <xdr:spPr bwMode="auto">
        <a:xfrm>
          <a:off x="0" y="0"/>
          <a:ext cx="6238875" cy="3686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495300</xdr:colOff>
      <xdr:row>20</xdr:row>
      <xdr:rowOff>0</xdr:rowOff>
    </xdr:to>
    <xdr:sp macro="" textlink="">
      <xdr:nvSpPr>
        <xdr:cNvPr id="2062" name="AutoShape 6"/>
        <xdr:cNvSpPr>
          <a:spLocks noChangeArrowheads="1"/>
        </xdr:cNvSpPr>
      </xdr:nvSpPr>
      <xdr:spPr bwMode="auto">
        <a:xfrm>
          <a:off x="0" y="0"/>
          <a:ext cx="6210300" cy="3686175"/>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361950</xdr:colOff>
      <xdr:row>44</xdr:row>
      <xdr:rowOff>0</xdr:rowOff>
    </xdr:to>
    <xdr:sp macro="" textlink="">
      <xdr:nvSpPr>
        <xdr:cNvPr id="3076" name="Rectangle 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3</xdr:row>
      <xdr:rowOff>0</xdr:rowOff>
    </xdr:from>
    <xdr:to>
      <xdr:col>8</xdr:col>
      <xdr:colOff>361950</xdr:colOff>
      <xdr:row>44</xdr:row>
      <xdr:rowOff>0</xdr:rowOff>
    </xdr:to>
    <xdr:sp macro="" textlink="">
      <xdr:nvSpPr>
        <xdr:cNvPr id="2"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3" name="AutoShape 4"/>
        <xdr:cNvSpPr>
          <a:spLocks noChangeArrowheads="1"/>
        </xdr:cNvSpPr>
      </xdr:nvSpPr>
      <xdr:spPr bwMode="auto">
        <a:xfrm>
          <a:off x="0" y="0"/>
          <a:ext cx="4371975" cy="48482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4"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5"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6"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7" name="AutoShape 4"/>
        <xdr:cNvSpPr>
          <a:spLocks noChangeArrowheads="1"/>
        </xdr:cNvSpPr>
      </xdr:nvSpPr>
      <xdr:spPr bwMode="auto">
        <a:xfrm>
          <a:off x="0" y="0"/>
          <a:ext cx="4371975" cy="48482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8"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9"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0"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1"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2" name="AutoShape 4"/>
        <xdr:cNvSpPr>
          <a:spLocks noChangeArrowheads="1"/>
        </xdr:cNvSpPr>
      </xdr:nvSpPr>
      <xdr:spPr bwMode="auto">
        <a:xfrm>
          <a:off x="0" y="0"/>
          <a:ext cx="4371975" cy="48482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3"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4"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5"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6" name="AutoShape 4"/>
        <xdr:cNvSpPr>
          <a:spLocks noChangeArrowheads="1"/>
        </xdr:cNvSpPr>
      </xdr:nvSpPr>
      <xdr:spPr bwMode="auto">
        <a:xfrm>
          <a:off x="0" y="0"/>
          <a:ext cx="4371975" cy="48482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7"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8" name="AutoShape 4"/>
        <xdr:cNvSpPr>
          <a:spLocks noChangeArrowheads="1"/>
        </xdr:cNvSpPr>
      </xdr:nvSpPr>
      <xdr:spPr bwMode="auto">
        <a:xfrm>
          <a:off x="0" y="0"/>
          <a:ext cx="4371975" cy="48482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19"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0"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1"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2"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3"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4"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5"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6"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7"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8"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29"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30"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31"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3072" name="AutoShape 4"/>
        <xdr:cNvSpPr>
          <a:spLocks noChangeArrowheads="1"/>
        </xdr:cNvSpPr>
      </xdr:nvSpPr>
      <xdr:spPr bwMode="auto">
        <a:xfrm>
          <a:off x="0" y="0"/>
          <a:ext cx="4371975" cy="4848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3073" name="AutoShape 4"/>
        <xdr:cNvSpPr>
          <a:spLocks noChangeArrowheads="1"/>
        </xdr:cNvSpPr>
      </xdr:nvSpPr>
      <xdr:spPr bwMode="auto">
        <a:xfrm>
          <a:off x="0" y="0"/>
          <a:ext cx="4371975" cy="48482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3074" name="AutoShape 4"/>
        <xdr:cNvSpPr>
          <a:spLocks noChangeArrowheads="1"/>
        </xdr:cNvSpPr>
      </xdr:nvSpPr>
      <xdr:spPr bwMode="auto">
        <a:xfrm>
          <a:off x="0" y="0"/>
          <a:ext cx="4371975" cy="48482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43</xdr:row>
      <xdr:rowOff>0</xdr:rowOff>
    </xdr:to>
    <xdr:sp macro="" textlink="">
      <xdr:nvSpPr>
        <xdr:cNvPr id="3075" name="AutoShape 4"/>
        <xdr:cNvSpPr>
          <a:spLocks noChangeArrowheads="1"/>
        </xdr:cNvSpPr>
      </xdr:nvSpPr>
      <xdr:spPr bwMode="auto">
        <a:xfrm>
          <a:off x="0" y="0"/>
          <a:ext cx="4371975" cy="48482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77" name="AutoShape 4"/>
        <xdr:cNvSpPr>
          <a:spLocks noChangeArrowheads="1"/>
        </xdr:cNvSpPr>
      </xdr:nvSpPr>
      <xdr:spPr bwMode="auto">
        <a:xfrm>
          <a:off x="0" y="0"/>
          <a:ext cx="4371975" cy="4619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78" name="AutoShape 4"/>
        <xdr:cNvSpPr>
          <a:spLocks noChangeArrowheads="1"/>
        </xdr:cNvSpPr>
      </xdr:nvSpPr>
      <xdr:spPr bwMode="auto">
        <a:xfrm>
          <a:off x="0" y="0"/>
          <a:ext cx="4371975" cy="4619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79" name="AutoShape 4"/>
        <xdr:cNvSpPr>
          <a:spLocks noChangeArrowheads="1"/>
        </xdr:cNvSpPr>
      </xdr:nvSpPr>
      <xdr:spPr bwMode="auto">
        <a:xfrm>
          <a:off x="0" y="0"/>
          <a:ext cx="4371975" cy="4619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80" name="AutoShape 4"/>
        <xdr:cNvSpPr>
          <a:spLocks noChangeArrowheads="1"/>
        </xdr:cNvSpPr>
      </xdr:nvSpPr>
      <xdr:spPr bwMode="auto">
        <a:xfrm>
          <a:off x="0" y="0"/>
          <a:ext cx="4371975" cy="4619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81" name="AutoShape 4"/>
        <xdr:cNvSpPr>
          <a:spLocks noChangeArrowheads="1"/>
        </xdr:cNvSpPr>
      </xdr:nvSpPr>
      <xdr:spPr bwMode="auto">
        <a:xfrm>
          <a:off x="0" y="0"/>
          <a:ext cx="4371975" cy="4619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82" name="AutoShape 4"/>
        <xdr:cNvSpPr>
          <a:spLocks noChangeArrowheads="1"/>
        </xdr:cNvSpPr>
      </xdr:nvSpPr>
      <xdr:spPr bwMode="auto">
        <a:xfrm>
          <a:off x="0" y="0"/>
          <a:ext cx="4371975" cy="4619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83" name="AutoShape 4"/>
        <xdr:cNvSpPr>
          <a:spLocks noChangeArrowheads="1"/>
        </xdr:cNvSpPr>
      </xdr:nvSpPr>
      <xdr:spPr bwMode="auto">
        <a:xfrm>
          <a:off x="0" y="0"/>
          <a:ext cx="4371975" cy="4619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84" name="AutoShape 4"/>
        <xdr:cNvSpPr>
          <a:spLocks noChangeArrowheads="1"/>
        </xdr:cNvSpPr>
      </xdr:nvSpPr>
      <xdr:spPr bwMode="auto">
        <a:xfrm>
          <a:off x="0" y="0"/>
          <a:ext cx="4371975" cy="4619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85" name="AutoShape 4"/>
        <xdr:cNvSpPr>
          <a:spLocks noChangeArrowheads="1"/>
        </xdr:cNvSpPr>
      </xdr:nvSpPr>
      <xdr:spPr bwMode="auto">
        <a:xfrm>
          <a:off x="0" y="0"/>
          <a:ext cx="4371975" cy="4619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38</xdr:row>
      <xdr:rowOff>180975</xdr:rowOff>
    </xdr:to>
    <xdr:sp macro="" textlink="">
      <xdr:nvSpPr>
        <xdr:cNvPr id="3086" name="AutoShape 4"/>
        <xdr:cNvSpPr>
          <a:spLocks noChangeArrowheads="1"/>
        </xdr:cNvSpPr>
      </xdr:nvSpPr>
      <xdr:spPr bwMode="auto">
        <a:xfrm>
          <a:off x="0" y="0"/>
          <a:ext cx="5162550" cy="4333875"/>
        </a:xfrm>
        <a:custGeom>
          <a:avLst/>
          <a:gdLst/>
          <a:ahLst/>
          <a:cxnLst/>
          <a:rect l="0" t="0" r="r" b="b"/>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Feuil1">
    <outlinePr summaryBelow="0"/>
  </sheetPr>
  <dimension ref="B1:G19"/>
  <sheetViews>
    <sheetView showGridLines="0" tabSelected="1" workbookViewId="0">
      <selection activeCell="E19" sqref="E19"/>
    </sheetView>
  </sheetViews>
  <sheetFormatPr baseColWidth="10" defaultColWidth="11.44140625" defaultRowHeight="13.2" outlineLevelRow="2"/>
  <cols>
    <col min="1" max="1" width="3.44140625" customWidth="1"/>
    <col min="2" max="2" width="3.6640625" customWidth="1"/>
    <col min="3" max="3" width="5.6640625" customWidth="1"/>
    <col min="4" max="4" width="9.88671875" style="879" customWidth="1"/>
    <col min="5" max="5" width="2.44140625" style="55" customWidth="1"/>
  </cols>
  <sheetData>
    <row r="1" spans="2:7">
      <c r="D1"/>
    </row>
    <row r="2" spans="2:7">
      <c r="B2" s="979" t="s">
        <v>2104</v>
      </c>
      <c r="D2"/>
    </row>
    <row r="3" spans="2:7" outlineLevel="1">
      <c r="D3" s="975">
        <v>2050</v>
      </c>
      <c r="E3" s="976" t="s">
        <v>1998</v>
      </c>
      <c r="F3" s="977" t="s">
        <v>1999</v>
      </c>
    </row>
    <row r="4" spans="2:7" outlineLevel="1">
      <c r="D4" s="975">
        <v>2051</v>
      </c>
      <c r="E4" s="976" t="s">
        <v>1998</v>
      </c>
      <c r="F4" s="977" t="s">
        <v>2000</v>
      </c>
    </row>
    <row r="5" spans="2:7" outlineLevel="1">
      <c r="D5" s="975" t="s">
        <v>2110</v>
      </c>
      <c r="E5" s="976" t="s">
        <v>1998</v>
      </c>
      <c r="F5" s="977" t="s">
        <v>2001</v>
      </c>
      <c r="G5" s="977"/>
    </row>
    <row r="6" spans="2:7" outlineLevel="1">
      <c r="D6" s="908">
        <v>2053</v>
      </c>
      <c r="E6" s="907" t="s">
        <v>1998</v>
      </c>
      <c r="F6" s="906" t="s">
        <v>2002</v>
      </c>
    </row>
    <row r="7" spans="2:7" outlineLevel="1">
      <c r="D7" s="908">
        <v>2054</v>
      </c>
      <c r="E7" s="907" t="s">
        <v>1998</v>
      </c>
      <c r="F7" s="906" t="s">
        <v>2003</v>
      </c>
    </row>
    <row r="8" spans="2:7" outlineLevel="1">
      <c r="D8" s="908">
        <v>2055</v>
      </c>
      <c r="E8" s="907" t="s">
        <v>1998</v>
      </c>
      <c r="F8" s="906" t="s">
        <v>2004</v>
      </c>
    </row>
    <row r="9" spans="2:7" outlineLevel="1">
      <c r="D9" s="908">
        <v>2056</v>
      </c>
      <c r="E9" s="907" t="s">
        <v>1998</v>
      </c>
      <c r="F9" s="906" t="s">
        <v>2005</v>
      </c>
    </row>
    <row r="10" spans="2:7" outlineLevel="1">
      <c r="D10" s="975">
        <v>2057</v>
      </c>
      <c r="E10" s="976" t="s">
        <v>1998</v>
      </c>
      <c r="F10" s="977" t="s">
        <v>2006</v>
      </c>
    </row>
    <row r="11" spans="2:7">
      <c r="B11" s="979" t="s">
        <v>2007</v>
      </c>
      <c r="D11"/>
    </row>
    <row r="12" spans="2:7" outlineLevel="1">
      <c r="D12" s="980" t="s">
        <v>2060</v>
      </c>
    </row>
    <row r="13" spans="2:7" s="55" customFormat="1" outlineLevel="2">
      <c r="E13" s="978" t="s">
        <v>2008</v>
      </c>
    </row>
    <row r="14" spans="2:7" outlineLevel="2">
      <c r="E14" s="978" t="s">
        <v>2009</v>
      </c>
      <c r="F14" s="55"/>
    </row>
    <row r="15" spans="2:7" s="55" customFormat="1" outlineLevel="1">
      <c r="D15" s="980" t="s">
        <v>2111</v>
      </c>
      <c r="E15" s="909"/>
    </row>
    <row r="16" spans="2:7" outlineLevel="2">
      <c r="E16" s="978" t="s">
        <v>2010</v>
      </c>
      <c r="F16" s="55"/>
    </row>
    <row r="17" spans="5:6" s="55" customFormat="1" outlineLevel="2">
      <c r="E17" s="978" t="s">
        <v>2103</v>
      </c>
    </row>
    <row r="18" spans="5:6" s="55" customFormat="1" outlineLevel="2">
      <c r="E18" s="978" t="s">
        <v>2067</v>
      </c>
    </row>
    <row r="19" spans="5:6" outlineLevel="2">
      <c r="E19" s="978" t="s">
        <v>2011</v>
      </c>
      <c r="F19" s="55"/>
    </row>
  </sheetData>
  <hyperlinks>
    <hyperlink ref="D3:F3" location="'2050 Actif'!A1" display="'2050 Actif'!A1"/>
    <hyperlink ref="D4:F4" location="'2051 Passif'!A1" display="'2051 Passif'!A1"/>
    <hyperlink ref="D5:G5" location="'2052 et 2053 CR par nature'!A1" display="'2052 et 2053 CR par nature'!A1"/>
    <hyperlink ref="D10:F10" location="'2057 Créances et Dettes'!A1" display="'2057 Créances et Dettes'!A1"/>
    <hyperlink ref="E16" location="'Bilan Fonctionnel'!A1" display="Bilan fonctionnel"/>
    <hyperlink ref="E17" location="'Bilan économique'!A1" display="Bilan économique"/>
    <hyperlink ref="E18" location="'Bilan financier (patrimoinial)'!A1" display="Bilan financier"/>
    <hyperlink ref="E19" location="'FRNG BFR et TN fonctionnels'!A1" display="FRNG, BFR et TN"/>
    <hyperlink ref="E13" location="SIG!A1" display="Soldes Intermédiaires de Gestion (S.I.G)"/>
    <hyperlink ref="E14" location="CAF!A1" display="Capacité d'Auto-Financement (C.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Feuil16">
    <tabColor theme="3" tint="-0.499984740745262"/>
    <outlinePr summaryBelow="0" summaryRight="0"/>
  </sheetPr>
  <dimension ref="A1:K62"/>
  <sheetViews>
    <sheetView zoomScale="90" zoomScaleNormal="90" workbookViewId="0">
      <pane ySplit="2" topLeftCell="A3" activePane="bottomLeft" state="frozen"/>
      <selection activeCell="C67" sqref="C67"/>
      <selection pane="bottomLeft" activeCell="C69" sqref="C69"/>
    </sheetView>
  </sheetViews>
  <sheetFormatPr baseColWidth="10" defaultColWidth="11.44140625" defaultRowHeight="13.2" outlineLevelRow="3" outlineLevelCol="1"/>
  <cols>
    <col min="1" max="1" width="7.6640625" style="551" customWidth="1"/>
    <col min="2" max="2" width="5" style="551" customWidth="1"/>
    <col min="3" max="3" width="4" style="551" customWidth="1"/>
    <col min="4" max="4" width="13.33203125" style="551" bestFit="1" customWidth="1"/>
    <col min="5" max="6" width="6.6640625" style="551" customWidth="1"/>
    <col min="7" max="7" width="61.33203125" style="551" customWidth="1" collapsed="1"/>
    <col min="8" max="8" width="73.109375" style="551" hidden="1" customWidth="1" outlineLevel="1"/>
    <col min="9" max="10" width="13.109375" style="551" customWidth="1"/>
    <col min="11" max="16384" width="11.44140625" style="551"/>
  </cols>
  <sheetData>
    <row r="1" spans="1:11" ht="14.4" thickBot="1">
      <c r="A1" s="981" t="s">
        <v>2015</v>
      </c>
    </row>
    <row r="2" spans="1:11" ht="16.2" thickBot="1">
      <c r="H2" s="696" t="s">
        <v>196</v>
      </c>
      <c r="I2" s="701" t="s">
        <v>838</v>
      </c>
      <c r="J2" s="702" t="s">
        <v>839</v>
      </c>
      <c r="K2" s="702" t="s">
        <v>795</v>
      </c>
    </row>
    <row r="4" spans="1:11" ht="13.8" thickBot="1"/>
    <row r="5" spans="1:11" ht="18.75" customHeight="1" thickBot="1">
      <c r="B5" s="1501" t="s">
        <v>1928</v>
      </c>
      <c r="C5" s="1502"/>
      <c r="D5" s="1502"/>
      <c r="E5" s="1502"/>
      <c r="F5" s="1502"/>
      <c r="G5" s="1502"/>
      <c r="H5" s="1502"/>
      <c r="I5" s="1502"/>
      <c r="J5" s="1502"/>
      <c r="K5" s="1503"/>
    </row>
    <row r="6" spans="1:11" ht="7.8" customHeight="1" outlineLevel="1" thickBot="1">
      <c r="B6" s="935"/>
      <c r="C6" s="935"/>
      <c r="D6" s="935"/>
      <c r="E6" s="935"/>
      <c r="F6" s="935"/>
      <c r="G6" s="935"/>
      <c r="H6" s="935"/>
      <c r="I6" s="935"/>
      <c r="J6" s="122"/>
    </row>
    <row r="7" spans="1:11" ht="18.75" customHeight="1" outlineLevel="1" thickBot="1">
      <c r="C7" s="1504" t="s">
        <v>1920</v>
      </c>
      <c r="D7" s="1505"/>
      <c r="E7" s="1505"/>
      <c r="F7" s="1505"/>
      <c r="G7" s="1505"/>
      <c r="H7" s="1505"/>
      <c r="I7" s="1505"/>
      <c r="J7" s="1505"/>
      <c r="K7" s="1506"/>
    </row>
    <row r="8" spans="1:11" ht="8.25" customHeight="1" outlineLevel="2" thickBot="1">
      <c r="C8" s="935"/>
      <c r="D8" s="935"/>
      <c r="E8" s="935"/>
      <c r="F8" s="935"/>
      <c r="G8" s="935"/>
      <c r="J8" s="935"/>
    </row>
    <row r="9" spans="1:11" ht="13.8" outlineLevel="2" thickBot="1">
      <c r="D9" s="1495" t="s">
        <v>1924</v>
      </c>
      <c r="E9" s="1496"/>
      <c r="F9" s="1496"/>
      <c r="G9" s="1497"/>
      <c r="H9" s="569" t="s">
        <v>1925</v>
      </c>
      <c r="I9" s="703"/>
      <c r="J9" s="570">
        <f>J10+J11+J12+J13+J14-J15-J16-J17+J18</f>
        <v>11510000</v>
      </c>
    </row>
    <row r="10" spans="1:11" ht="12.75" customHeight="1" outlineLevel="3">
      <c r="D10" s="567"/>
      <c r="E10" s="1476" t="s">
        <v>1635</v>
      </c>
      <c r="F10" s="1112"/>
      <c r="G10" s="1113"/>
      <c r="H10" s="568" t="s">
        <v>1673</v>
      </c>
      <c r="I10" s="568"/>
      <c r="J10" s="552">
        <f>'2050 Actif'!S26</f>
        <v>9860000</v>
      </c>
    </row>
    <row r="11" spans="1:11" ht="38.25" customHeight="1" outlineLevel="3">
      <c r="D11" s="553"/>
      <c r="E11" s="1480" t="s">
        <v>1674</v>
      </c>
      <c r="F11" s="1481"/>
      <c r="G11" s="1482"/>
      <c r="H11" s="556" t="s">
        <v>1676</v>
      </c>
      <c r="I11" s="556"/>
      <c r="J11" s="554">
        <f>'2055 Amortissements'!L22</f>
        <v>0</v>
      </c>
    </row>
    <row r="12" spans="1:11" ht="51" customHeight="1" outlineLevel="3">
      <c r="D12" s="553"/>
      <c r="E12" s="1480" t="s">
        <v>1675</v>
      </c>
      <c r="F12" s="1481"/>
      <c r="G12" s="1482"/>
      <c r="H12" s="556" t="s">
        <v>1677</v>
      </c>
      <c r="I12" s="556"/>
      <c r="J12" s="554">
        <f>'2056 Dépréciations e provisions'!H28+'2056 Dépréciations e provisions'!H29+'2056 Dépréciations e provisions'!H30+'2056 Dépréciations e provisions'!H31+'2056 Dépréciations e provisions'!H32</f>
        <v>0</v>
      </c>
    </row>
    <row r="13" spans="1:11" ht="12.75" customHeight="1" outlineLevel="3">
      <c r="D13" s="553"/>
      <c r="E13" s="1477" t="s">
        <v>1636</v>
      </c>
      <c r="F13" s="1478"/>
      <c r="G13" s="1479"/>
      <c r="H13" s="556" t="s">
        <v>1678</v>
      </c>
      <c r="I13" s="556"/>
      <c r="J13" s="554">
        <f>IF('Informations complémentaire'!G20="Oui",'Informations complémentaire'!H24,'Informations complémentaire'!H24-'Informations complémentaire'!H25)</f>
        <v>1650000</v>
      </c>
    </row>
    <row r="14" spans="1:11" ht="12.75" customHeight="1" outlineLevel="3">
      <c r="D14" s="553"/>
      <c r="E14" s="1477" t="s">
        <v>1639</v>
      </c>
      <c r="F14" s="1478"/>
      <c r="G14" s="1479"/>
      <c r="H14" s="556"/>
      <c r="I14" s="556"/>
      <c r="J14" s="554">
        <f>'Informations complémentaire'!H85</f>
        <v>0</v>
      </c>
    </row>
    <row r="15" spans="1:11" ht="12.75" customHeight="1" outlineLevel="3">
      <c r="D15" s="553"/>
      <c r="E15" s="1477" t="s">
        <v>1640</v>
      </c>
      <c r="F15" s="1478"/>
      <c r="G15" s="1479"/>
      <c r="H15" s="556"/>
      <c r="I15" s="556"/>
      <c r="J15" s="554">
        <f>'Informations complémentaire'!H96</f>
        <v>0</v>
      </c>
    </row>
    <row r="16" spans="1:11" ht="12.75" customHeight="1" outlineLevel="3">
      <c r="D16" s="553"/>
      <c r="E16" s="1498" t="s">
        <v>1642</v>
      </c>
      <c r="F16" s="1499"/>
      <c r="G16" s="1500"/>
      <c r="H16" s="556"/>
      <c r="I16" s="556"/>
      <c r="J16" s="554">
        <f>'Informations complémentaire'!H60</f>
        <v>0</v>
      </c>
    </row>
    <row r="17" spans="3:11" ht="12.75" customHeight="1" outlineLevel="3">
      <c r="D17" s="553"/>
      <c r="E17" s="1498" t="s">
        <v>1680</v>
      </c>
      <c r="F17" s="1499"/>
      <c r="G17" s="1500"/>
      <c r="H17" s="556"/>
      <c r="I17" s="556"/>
      <c r="J17" s="554">
        <f>'Informations complémentaire'!H61</f>
        <v>0</v>
      </c>
    </row>
    <row r="18" spans="3:11" ht="13.5" customHeight="1" outlineLevel="3" thickBot="1">
      <c r="D18" s="557"/>
      <c r="E18" s="1489" t="s">
        <v>1662</v>
      </c>
      <c r="F18" s="1490"/>
      <c r="G18" s="1491"/>
      <c r="H18" s="561"/>
      <c r="I18" s="561"/>
      <c r="J18" s="560">
        <f>IF('Informations complémentaire'!G18="oui",'2050 Actif'!S41,0)</f>
        <v>0</v>
      </c>
    </row>
    <row r="19" spans="3:11" ht="6.75" customHeight="1" outlineLevel="2" thickBot="1">
      <c r="J19" s="936"/>
    </row>
    <row r="20" spans="3:11" ht="13.8" outlineLevel="2" collapsed="1" thickBot="1">
      <c r="D20" s="1495" t="s">
        <v>1926</v>
      </c>
      <c r="E20" s="1496"/>
      <c r="F20" s="1496"/>
      <c r="G20" s="1497"/>
      <c r="H20" s="569" t="s">
        <v>1927</v>
      </c>
      <c r="I20" s="703"/>
      <c r="J20" s="570">
        <f>J21+J22+J23-J24-J25-J26+J27</f>
        <v>1650000</v>
      </c>
    </row>
    <row r="21" spans="3:11" ht="12.75" hidden="1" customHeight="1" outlineLevel="3">
      <c r="D21" s="567"/>
      <c r="E21" s="1486" t="s">
        <v>1649</v>
      </c>
      <c r="F21" s="1487"/>
      <c r="G21" s="1488"/>
      <c r="H21" s="571"/>
      <c r="I21" s="571"/>
      <c r="J21" s="552">
        <f>'2054 Immobilisations'!L27</f>
        <v>0</v>
      </c>
    </row>
    <row r="22" spans="3:11" ht="12.75" hidden="1" customHeight="1" outlineLevel="3">
      <c r="D22" s="553"/>
      <c r="E22" s="1477" t="s">
        <v>1636</v>
      </c>
      <c r="F22" s="1478"/>
      <c r="G22" s="1479"/>
      <c r="H22" s="555"/>
      <c r="I22" s="555"/>
      <c r="J22" s="554">
        <f>IF('Informations complémentaire'!G20="Oui",'Informations complémentaire'!H24,'Informations complémentaire'!H24-'Informations complémentaire'!H25)</f>
        <v>1650000</v>
      </c>
    </row>
    <row r="23" spans="3:11" ht="12.75" hidden="1" customHeight="1" outlineLevel="3">
      <c r="D23" s="553"/>
      <c r="E23" s="1477" t="s">
        <v>1639</v>
      </c>
      <c r="F23" s="1478"/>
      <c r="G23" s="1479"/>
      <c r="H23" s="555"/>
      <c r="I23" s="555"/>
      <c r="J23" s="554">
        <f>'Informations complémentaire'!H85</f>
        <v>0</v>
      </c>
    </row>
    <row r="24" spans="3:11" ht="12.75" hidden="1" customHeight="1" outlineLevel="3">
      <c r="D24" s="553"/>
      <c r="E24" s="1477" t="s">
        <v>1640</v>
      </c>
      <c r="F24" s="1478"/>
      <c r="G24" s="1479"/>
      <c r="H24" s="555"/>
      <c r="I24" s="555"/>
      <c r="J24" s="554">
        <f>'Informations complémentaire'!H96</f>
        <v>0</v>
      </c>
    </row>
    <row r="25" spans="3:11" ht="12.75" hidden="1" customHeight="1" outlineLevel="3">
      <c r="D25" s="553"/>
      <c r="E25" s="1498" t="s">
        <v>1642</v>
      </c>
      <c r="F25" s="1499"/>
      <c r="G25" s="1500"/>
      <c r="H25" s="556"/>
      <c r="I25" s="556"/>
      <c r="J25" s="554">
        <f>'Informations complémentaire'!H60</f>
        <v>0</v>
      </c>
    </row>
    <row r="26" spans="3:11" ht="12.75" hidden="1" customHeight="1" outlineLevel="3">
      <c r="D26" s="553"/>
      <c r="E26" s="1498" t="s">
        <v>1680</v>
      </c>
      <c r="F26" s="1499"/>
      <c r="G26" s="1500"/>
      <c r="H26" s="556"/>
      <c r="I26" s="556"/>
      <c r="J26" s="554">
        <f>'Informations complémentaire'!H61</f>
        <v>0</v>
      </c>
    </row>
    <row r="27" spans="3:11" ht="13.5" hidden="1" customHeight="1" outlineLevel="3" thickBot="1">
      <c r="D27" s="557"/>
      <c r="E27" s="1489" t="s">
        <v>1641</v>
      </c>
      <c r="F27" s="1490"/>
      <c r="G27" s="1491"/>
      <c r="H27" s="559"/>
      <c r="I27" s="559"/>
      <c r="J27" s="560">
        <f>IF('Informations complémentaire'!G18="oui",'2050 Actif'!J41,0)</f>
        <v>0</v>
      </c>
    </row>
    <row r="28" spans="3:11" ht="7.8" customHeight="1" outlineLevel="1" thickBot="1">
      <c r="J28" s="936"/>
    </row>
    <row r="29" spans="3:11" ht="18.75" customHeight="1" outlineLevel="1" collapsed="1" thickBot="1">
      <c r="C29" s="1504" t="s">
        <v>1921</v>
      </c>
      <c r="D29" s="1505"/>
      <c r="E29" s="1505"/>
      <c r="F29" s="1505"/>
      <c r="G29" s="1505"/>
      <c r="H29" s="1505"/>
      <c r="I29" s="1505"/>
      <c r="J29" s="1505"/>
      <c r="K29" s="1506"/>
    </row>
    <row r="30" spans="3:11" ht="6.75" hidden="1" customHeight="1" outlineLevel="2" thickBot="1">
      <c r="C30" s="935"/>
      <c r="D30" s="935"/>
      <c r="E30" s="935"/>
      <c r="F30" s="935"/>
      <c r="G30" s="935"/>
      <c r="H30" s="935"/>
      <c r="I30" s="935"/>
      <c r="J30" s="122"/>
    </row>
    <row r="31" spans="3:11" ht="13.8" hidden="1" outlineLevel="2" collapsed="1" thickBot="1">
      <c r="D31" s="1492" t="s">
        <v>1650</v>
      </c>
      <c r="E31" s="1493"/>
      <c r="F31" s="1493"/>
      <c r="G31" s="1494"/>
      <c r="H31" s="574"/>
      <c r="I31" s="704"/>
      <c r="J31" s="570">
        <f>J32+J33+J34+J35-J36+J37+J38</f>
        <v>5978800</v>
      </c>
    </row>
    <row r="32" spans="3:11" ht="25.5" hidden="1" customHeight="1" outlineLevel="3">
      <c r="D32" s="572"/>
      <c r="E32" s="1476" t="s">
        <v>1651</v>
      </c>
      <c r="F32" s="1112"/>
      <c r="G32" s="1113"/>
      <c r="H32" s="573" t="s">
        <v>1652</v>
      </c>
      <c r="I32" s="697"/>
      <c r="J32" s="552">
        <f>'2050 Actif'!S40</f>
        <v>5178800</v>
      </c>
    </row>
    <row r="33" spans="3:11" ht="25.5" hidden="1" customHeight="1" outlineLevel="3">
      <c r="D33" s="553"/>
      <c r="E33" s="1507" t="s">
        <v>1653</v>
      </c>
      <c r="F33" s="1508"/>
      <c r="G33" s="1509"/>
      <c r="H33" s="33" t="s">
        <v>1654</v>
      </c>
      <c r="I33" s="617"/>
      <c r="J33" s="554">
        <f>'2056 Dépréciations e provisions'!H33+'2056 Dépréciations e provisions'!H34+'2056 Dépréciations e provisions'!H35</f>
        <v>0</v>
      </c>
    </row>
    <row r="34" spans="3:11" ht="12.75" hidden="1" customHeight="1" outlineLevel="3">
      <c r="D34" s="553"/>
      <c r="E34" s="1477" t="s">
        <v>1655</v>
      </c>
      <c r="F34" s="1478"/>
      <c r="G34" s="1479"/>
      <c r="H34" s="933"/>
      <c r="I34" s="124"/>
      <c r="J34" s="554">
        <f>'Informations complémentaire'!H47</f>
        <v>800000</v>
      </c>
    </row>
    <row r="35" spans="3:11" ht="12.75" hidden="1" customHeight="1" outlineLevel="3">
      <c r="D35" s="553"/>
      <c r="E35" s="1477" t="s">
        <v>1656</v>
      </c>
      <c r="F35" s="1478"/>
      <c r="G35" s="1479"/>
      <c r="H35" s="933"/>
      <c r="I35" s="124"/>
      <c r="J35" s="554">
        <f>'Informations complémentaire'!H86+'Informations complémentaire'!H87+'Informations complémentaire'!H88</f>
        <v>0</v>
      </c>
    </row>
    <row r="36" spans="3:11" ht="12.75" hidden="1" customHeight="1" outlineLevel="3">
      <c r="D36" s="553"/>
      <c r="E36" s="1477" t="s">
        <v>1657</v>
      </c>
      <c r="F36" s="1478"/>
      <c r="G36" s="1479"/>
      <c r="H36" s="933"/>
      <c r="I36" s="124"/>
      <c r="J36" s="554">
        <f>'Informations complémentaire'!H97+'Informations complémentaire'!H98+'Informations complémentaire'!H99</f>
        <v>0</v>
      </c>
    </row>
    <row r="37" spans="3:11" ht="12.75" hidden="1" customHeight="1" outlineLevel="3">
      <c r="D37" s="553"/>
      <c r="E37" s="1498" t="s">
        <v>1658</v>
      </c>
      <c r="F37" s="1499"/>
      <c r="G37" s="1500"/>
      <c r="H37" s="933"/>
      <c r="I37" s="124"/>
      <c r="J37" s="554">
        <f>'Informations complémentaire'!H60</f>
        <v>0</v>
      </c>
    </row>
    <row r="38" spans="3:11" ht="13.5" hidden="1" customHeight="1" outlineLevel="3" thickBot="1">
      <c r="D38" s="557"/>
      <c r="E38" s="1483" t="s">
        <v>1679</v>
      </c>
      <c r="F38" s="1484"/>
      <c r="G38" s="1485"/>
      <c r="H38" s="190" t="s">
        <v>1659</v>
      </c>
      <c r="I38" s="698"/>
      <c r="J38" s="560">
        <f>'Informations complémentaire'!H61</f>
        <v>0</v>
      </c>
    </row>
    <row r="39" spans="3:11" ht="7.8" customHeight="1" outlineLevel="1" collapsed="1" thickBot="1">
      <c r="J39" s="936"/>
    </row>
    <row r="40" spans="3:11" ht="18.75" customHeight="1" outlineLevel="1" collapsed="1" thickBot="1">
      <c r="C40" s="1504" t="s">
        <v>1922</v>
      </c>
      <c r="D40" s="1505"/>
      <c r="E40" s="1505"/>
      <c r="F40" s="1505"/>
      <c r="G40" s="1505"/>
      <c r="H40" s="1505"/>
      <c r="I40" s="1505"/>
      <c r="J40" s="1505"/>
      <c r="K40" s="1506"/>
    </row>
    <row r="41" spans="3:11" ht="7.5" hidden="1" customHeight="1" outlineLevel="2" thickBot="1">
      <c r="C41" s="935"/>
      <c r="D41" s="935"/>
      <c r="E41" s="935"/>
      <c r="F41" s="935"/>
      <c r="G41" s="935"/>
      <c r="H41" s="935"/>
      <c r="I41" s="935"/>
      <c r="J41" s="122"/>
    </row>
    <row r="42" spans="3:11" ht="13.8" hidden="1" outlineLevel="2" collapsed="1" thickBot="1">
      <c r="D42" s="1492" t="s">
        <v>1699</v>
      </c>
      <c r="E42" s="1493"/>
      <c r="F42" s="1493"/>
      <c r="G42" s="1494"/>
      <c r="H42" s="606"/>
      <c r="I42" s="705"/>
      <c r="J42" s="570">
        <f>J43+J44+J45+J46+J47-J48+J49</f>
        <v>4805200</v>
      </c>
    </row>
    <row r="43" spans="3:11" ht="12.75" hidden="1" customHeight="1" outlineLevel="3">
      <c r="D43" s="567"/>
      <c r="E43" s="1476" t="s">
        <v>1706</v>
      </c>
      <c r="F43" s="1112"/>
      <c r="G43" s="1113"/>
      <c r="H43" s="492"/>
      <c r="I43" s="699"/>
      <c r="J43" s="552">
        <f>'2050 Actif'!S33</f>
        <v>2550000</v>
      </c>
    </row>
    <row r="44" spans="3:11" ht="12.75" hidden="1" customHeight="1" outlineLevel="3">
      <c r="D44" s="553"/>
      <c r="E44" s="1477" t="s">
        <v>1707</v>
      </c>
      <c r="F44" s="1478"/>
      <c r="G44" s="1479"/>
      <c r="H44" s="933"/>
      <c r="I44" s="124"/>
      <c r="J44" s="554">
        <f>'2050 Actif'!S34-'Informations complémentaire'!H52</f>
        <v>0</v>
      </c>
    </row>
    <row r="45" spans="3:11" ht="12.75" hidden="1" customHeight="1" outlineLevel="3">
      <c r="D45" s="553"/>
      <c r="E45" s="1477" t="s">
        <v>1700</v>
      </c>
      <c r="F45" s="1478"/>
      <c r="G45" s="1479"/>
      <c r="H45" s="933"/>
      <c r="I45" s="124"/>
      <c r="J45" s="554">
        <f>'Informations complémentaire'!H49</f>
        <v>1455200</v>
      </c>
    </row>
    <row r="46" spans="3:11" ht="12.75" hidden="1" customHeight="1" outlineLevel="3">
      <c r="D46" s="553"/>
      <c r="E46" s="1477" t="s">
        <v>1701</v>
      </c>
      <c r="F46" s="1478"/>
      <c r="G46" s="1479"/>
      <c r="H46" s="933"/>
      <c r="I46" s="124"/>
      <c r="J46" s="554">
        <f>'Informations complémentaire'!H47</f>
        <v>800000</v>
      </c>
    </row>
    <row r="47" spans="3:11" ht="12.75" hidden="1" customHeight="1" outlineLevel="3">
      <c r="D47" s="553"/>
      <c r="E47" s="1477" t="s">
        <v>1702</v>
      </c>
      <c r="F47" s="1478"/>
      <c r="G47" s="1479"/>
      <c r="H47" s="933"/>
      <c r="I47" s="124"/>
      <c r="J47" s="554">
        <f>'Informations complémentaire'!H86</f>
        <v>0</v>
      </c>
    </row>
    <row r="48" spans="3:11" ht="12.75" hidden="1" customHeight="1" outlineLevel="3">
      <c r="D48" s="553"/>
      <c r="E48" s="1477" t="s">
        <v>1703</v>
      </c>
      <c r="F48" s="1478"/>
      <c r="G48" s="1479"/>
      <c r="H48" s="933"/>
      <c r="I48" s="124"/>
      <c r="J48" s="554">
        <f>'Informations complémentaire'!H97</f>
        <v>0</v>
      </c>
    </row>
    <row r="49" spans="3:11" ht="13.5" hidden="1" customHeight="1" outlineLevel="3" thickBot="1">
      <c r="D49" s="557"/>
      <c r="E49" s="1489" t="s">
        <v>1704</v>
      </c>
      <c r="F49" s="1490"/>
      <c r="G49" s="1491"/>
      <c r="H49" s="934"/>
      <c r="I49" s="444"/>
      <c r="J49" s="560">
        <f>'2056 Dépréciations e provisions'!H34</f>
        <v>0</v>
      </c>
    </row>
    <row r="50" spans="3:11" ht="7.8" customHeight="1" outlineLevel="1" thickBot="1">
      <c r="J50" s="936"/>
    </row>
    <row r="51" spans="3:11" ht="18.75" customHeight="1" outlineLevel="1" collapsed="1" thickBot="1">
      <c r="C51" s="1504" t="s">
        <v>1923</v>
      </c>
      <c r="D51" s="1505"/>
      <c r="E51" s="1505"/>
      <c r="F51" s="1505"/>
      <c r="G51" s="1505"/>
      <c r="H51" s="1505"/>
      <c r="I51" s="1505"/>
      <c r="J51" s="1505"/>
      <c r="K51" s="1506"/>
    </row>
    <row r="52" spans="3:11" ht="8.25" hidden="1" customHeight="1" outlineLevel="2" thickBot="1">
      <c r="C52" s="935"/>
      <c r="D52" s="935"/>
      <c r="E52" s="935"/>
      <c r="F52" s="935"/>
      <c r="G52" s="935"/>
      <c r="H52" s="935"/>
      <c r="I52" s="935"/>
      <c r="J52" s="122"/>
    </row>
    <row r="53" spans="3:11" ht="13.8" hidden="1" outlineLevel="2" collapsed="1" thickBot="1">
      <c r="D53" s="1492" t="s">
        <v>1660</v>
      </c>
      <c r="E53" s="1493"/>
      <c r="F53" s="1493"/>
      <c r="G53" s="1493"/>
      <c r="H53" s="605"/>
      <c r="I53" s="706"/>
      <c r="J53" s="570">
        <f>J54+J55+J56+J57+J58+J59-J60-J61</f>
        <v>5405200</v>
      </c>
    </row>
    <row r="54" spans="3:11" ht="12.75" hidden="1" customHeight="1" outlineLevel="3">
      <c r="D54" s="567"/>
      <c r="E54" s="1510" t="s">
        <v>1661</v>
      </c>
      <c r="F54" s="1511"/>
      <c r="G54" s="1512"/>
      <c r="H54" s="514" t="s">
        <v>1664</v>
      </c>
      <c r="I54" s="700"/>
      <c r="J54" s="552">
        <f>'2051 Passif'!M16</f>
        <v>5405200</v>
      </c>
    </row>
    <row r="55" spans="3:11" ht="12.75" hidden="1" customHeight="1" outlineLevel="3">
      <c r="D55" s="553"/>
      <c r="E55" s="1477" t="s">
        <v>1663</v>
      </c>
      <c r="F55" s="1478"/>
      <c r="G55" s="1479"/>
      <c r="H55" s="933"/>
      <c r="I55" s="124"/>
      <c r="J55" s="554">
        <f>IF('Informations complémentaire'!G19="Oui",'2051 Passif'!M18,0)</f>
        <v>0</v>
      </c>
    </row>
    <row r="56" spans="3:11" ht="38.25" hidden="1" customHeight="1" outlineLevel="3">
      <c r="D56" s="553"/>
      <c r="E56" s="1480" t="s">
        <v>1666</v>
      </c>
      <c r="F56" s="1481"/>
      <c r="G56" s="1482"/>
      <c r="H56" s="33" t="s">
        <v>1665</v>
      </c>
      <c r="I56" s="617"/>
      <c r="J56" s="554">
        <f>'2055 Amortissements'!L22</f>
        <v>0</v>
      </c>
    </row>
    <row r="57" spans="3:11" ht="25.5" hidden="1" customHeight="1" outlineLevel="3">
      <c r="D57" s="553"/>
      <c r="E57" s="1513" t="s">
        <v>1681</v>
      </c>
      <c r="F57" s="1514"/>
      <c r="G57" s="1515"/>
      <c r="H57" s="33" t="s">
        <v>1667</v>
      </c>
      <c r="I57" s="617"/>
      <c r="J57" s="554">
        <f>'2056 Dépréciations e provisions'!H27+'2056 Dépréciations e provisions'!H36</f>
        <v>0</v>
      </c>
    </row>
    <row r="58" spans="3:11" ht="12.75" hidden="1" customHeight="1" outlineLevel="3">
      <c r="D58" s="553"/>
      <c r="E58" s="1477" t="s">
        <v>1668</v>
      </c>
      <c r="F58" s="1478"/>
      <c r="G58" s="1479"/>
      <c r="H58" s="933"/>
      <c r="I58" s="124"/>
      <c r="J58" s="554">
        <f>'Informations complémentaire'!H28</f>
        <v>0</v>
      </c>
    </row>
    <row r="59" spans="3:11" ht="12.75" hidden="1" customHeight="1" outlineLevel="3">
      <c r="D59" s="553"/>
      <c r="E59" s="1477" t="s">
        <v>1669</v>
      </c>
      <c r="F59" s="1478"/>
      <c r="G59" s="1479"/>
      <c r="H59" s="933"/>
      <c r="I59" s="124"/>
      <c r="J59" s="554">
        <f>IF('Informations complémentaire'!G11="Oui",0,'Informations complémentaire'!H109)</f>
        <v>0</v>
      </c>
    </row>
    <row r="60" spans="3:11" ht="12.75" hidden="1" customHeight="1" outlineLevel="3">
      <c r="D60" s="553"/>
      <c r="E60" s="1477" t="s">
        <v>1671</v>
      </c>
      <c r="F60" s="1478"/>
      <c r="G60" s="1479"/>
      <c r="H60" s="38" t="s">
        <v>1670</v>
      </c>
      <c r="I60" s="932"/>
      <c r="J60" s="554">
        <f>'2050 Actif'!S6</f>
        <v>0</v>
      </c>
    </row>
    <row r="61" spans="3:11" ht="15.75" hidden="1" customHeight="1" outlineLevel="3" thickBot="1">
      <c r="D61" s="557"/>
      <c r="E61" s="1489" t="s">
        <v>1672</v>
      </c>
      <c r="F61" s="1490"/>
      <c r="G61" s="1491"/>
      <c r="H61" s="934"/>
      <c r="I61" s="444"/>
      <c r="J61" s="560">
        <f>IF('Informations complémentaire'!G18="non",'2050 Actif'!S41,0)</f>
        <v>0</v>
      </c>
    </row>
    <row r="62" spans="3:11" ht="7.8" customHeight="1" collapsed="1"/>
  </sheetData>
  <mergeCells count="48">
    <mergeCell ref="E60:G60"/>
    <mergeCell ref="E61:G61"/>
    <mergeCell ref="E44:G44"/>
    <mergeCell ref="E43:G43"/>
    <mergeCell ref="E37:G37"/>
    <mergeCell ref="E59:G59"/>
    <mergeCell ref="D53:G53"/>
    <mergeCell ref="E54:G54"/>
    <mergeCell ref="E55:G55"/>
    <mergeCell ref="E56:G56"/>
    <mergeCell ref="E58:G58"/>
    <mergeCell ref="E57:G57"/>
    <mergeCell ref="B5:K5"/>
    <mergeCell ref="C51:K51"/>
    <mergeCell ref="C40:K40"/>
    <mergeCell ref="C29:K29"/>
    <mergeCell ref="C7:K7"/>
    <mergeCell ref="E24:G24"/>
    <mergeCell ref="E25:G25"/>
    <mergeCell ref="E26:G26"/>
    <mergeCell ref="E33:G33"/>
    <mergeCell ref="E46:G46"/>
    <mergeCell ref="E47:G47"/>
    <mergeCell ref="E45:G45"/>
    <mergeCell ref="E48:G48"/>
    <mergeCell ref="E49:G49"/>
    <mergeCell ref="D42:G42"/>
    <mergeCell ref="D9:G9"/>
    <mergeCell ref="E38:G38"/>
    <mergeCell ref="E11:G11"/>
    <mergeCell ref="E21:G21"/>
    <mergeCell ref="E22:G22"/>
    <mergeCell ref="E32:G32"/>
    <mergeCell ref="E27:G27"/>
    <mergeCell ref="D31:G31"/>
    <mergeCell ref="E18:G18"/>
    <mergeCell ref="D20:G20"/>
    <mergeCell ref="E23:G23"/>
    <mergeCell ref="E34:G34"/>
    <mergeCell ref="E35:G35"/>
    <mergeCell ref="E36:G36"/>
    <mergeCell ref="E16:G16"/>
    <mergeCell ref="E17:G17"/>
    <mergeCell ref="E10:G10"/>
    <mergeCell ref="E13:G13"/>
    <mergeCell ref="E14:G14"/>
    <mergeCell ref="E15:G15"/>
    <mergeCell ref="E12:G12"/>
  </mergeCells>
  <hyperlinks>
    <hyperlink ref="A1" location="Sommaire!A1" display="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Feuil11">
    <tabColor theme="8" tint="-0.249977111117893"/>
    <outlinePr summaryRight="0"/>
  </sheetPr>
  <dimension ref="A1:Q274"/>
  <sheetViews>
    <sheetView showGridLines="0" zoomScale="85" zoomScaleNormal="85" workbookViewId="0">
      <pane ySplit="1" topLeftCell="A2" activePane="bottomLeft" state="frozen"/>
      <selection activeCell="A3" sqref="A3"/>
      <selection pane="bottomLeft"/>
    </sheetView>
  </sheetViews>
  <sheetFormatPr baseColWidth="10" defaultColWidth="17.33203125" defaultRowHeight="15.75" customHeight="1" outlineLevelRow="3" outlineLevelCol="1"/>
  <cols>
    <col min="1" max="1" width="3.109375" customWidth="1"/>
    <col min="2" max="2" width="4.5546875" style="21" customWidth="1" collapsed="1"/>
    <col min="3" max="3" width="3.109375" style="55" hidden="1" customWidth="1" outlineLevel="1"/>
    <col min="4" max="4" width="8.109375" customWidth="1"/>
    <col min="5" max="5" width="7.44140625" customWidth="1"/>
    <col min="6" max="6" width="51.109375" style="55" customWidth="1" collapsed="1"/>
    <col min="7" max="7" width="56.33203125" hidden="1" customWidth="1" outlineLevel="1"/>
    <col min="8" max="8" width="39.6640625" hidden="1" customWidth="1" outlineLevel="1"/>
    <col min="9" max="9" width="30.109375" hidden="1" customWidth="1" outlineLevel="1"/>
    <col min="10" max="10" width="13.6640625" customWidth="1"/>
    <col min="11" max="12" width="13.6640625" style="55" customWidth="1"/>
    <col min="13" max="13" width="50.44140625" customWidth="1"/>
  </cols>
  <sheetData>
    <row r="1" spans="1:17" s="21" customFormat="1" ht="15.75" customHeight="1" thickBot="1">
      <c r="A1" s="981" t="s">
        <v>2015</v>
      </c>
      <c r="C1" s="55"/>
      <c r="F1" s="55"/>
      <c r="K1" s="55"/>
      <c r="L1" s="55"/>
    </row>
    <row r="2" spans="1:17" s="21" customFormat="1" ht="27" customHeight="1" thickBot="1">
      <c r="B2" s="1555" t="s">
        <v>1968</v>
      </c>
      <c r="C2" s="1556"/>
      <c r="D2" s="1556"/>
      <c r="E2" s="1556"/>
      <c r="F2" s="1556"/>
      <c r="G2" s="1556"/>
      <c r="H2" s="1556"/>
      <c r="I2" s="1556"/>
      <c r="J2" s="1556"/>
      <c r="K2" s="1556"/>
      <c r="L2" s="1556"/>
      <c r="M2" s="1557"/>
      <c r="N2" s="211"/>
    </row>
    <row r="3" spans="1:17" s="21" customFormat="1" ht="11.25" customHeight="1" thickBot="1">
      <c r="C3" s="55"/>
      <c r="F3" s="55"/>
      <c r="K3" s="55"/>
      <c r="L3" s="55"/>
    </row>
    <row r="4" spans="1:17" ht="31.5" customHeight="1" thickBot="1">
      <c r="A4" s="4"/>
      <c r="B4" s="4"/>
      <c r="C4" s="4"/>
      <c r="D4" s="4"/>
      <c r="E4" s="725"/>
      <c r="F4" s="724"/>
      <c r="G4" s="61" t="s">
        <v>118</v>
      </c>
      <c r="H4" s="61" t="s">
        <v>119</v>
      </c>
      <c r="I4" s="62" t="s">
        <v>196</v>
      </c>
      <c r="J4" s="461">
        <f>'Informations complémentaire'!D8</f>
        <v>2012</v>
      </c>
      <c r="K4" s="461">
        <f>IFERROR('Informations complémentaire'!D8-1,'Informations complémentaire'!D8&amp;" - 1")</f>
        <v>2011</v>
      </c>
      <c r="L4" s="464" t="s">
        <v>795</v>
      </c>
      <c r="M4" s="462" t="s">
        <v>120</v>
      </c>
      <c r="N4" s="211"/>
      <c r="O4" s="55"/>
      <c r="P4" s="55"/>
      <c r="Q4" s="55"/>
    </row>
    <row r="5" spans="1:17" ht="25.5" hidden="1" customHeight="1" outlineLevel="1">
      <c r="A5" s="4"/>
      <c r="B5" s="4"/>
      <c r="C5" s="4"/>
      <c r="D5" s="1522" t="s">
        <v>121</v>
      </c>
      <c r="E5" s="1109"/>
      <c r="F5" s="1523"/>
      <c r="G5" s="151" t="s">
        <v>122</v>
      </c>
      <c r="H5" s="63" t="s">
        <v>123</v>
      </c>
      <c r="I5" s="43"/>
      <c r="J5" s="70">
        <f>'2052 et 2053 CR par nature'!K6</f>
        <v>550000</v>
      </c>
      <c r="K5" s="70">
        <f>'2052 et 2053 CR par nature'!L6</f>
        <v>650000</v>
      </c>
      <c r="L5" s="480"/>
      <c r="M5" s="59"/>
      <c r="N5" s="211"/>
      <c r="O5" s="55"/>
      <c r="P5" s="55"/>
      <c r="Q5" s="55"/>
    </row>
    <row r="6" spans="1:17" ht="25.5" hidden="1" customHeight="1" outlineLevel="1">
      <c r="A6" s="4"/>
      <c r="B6" s="4"/>
      <c r="C6" s="4"/>
      <c r="D6" s="1004" t="s">
        <v>124</v>
      </c>
      <c r="E6" s="1005"/>
      <c r="F6" s="1521"/>
      <c r="G6" s="133" t="s">
        <v>125</v>
      </c>
      <c r="H6" s="34" t="s">
        <v>126</v>
      </c>
      <c r="I6" s="31"/>
      <c r="J6" s="67">
        <f>'2052 et 2053 CR par nature'!K16</f>
        <v>250000</v>
      </c>
      <c r="K6" s="67">
        <f>'2052 et 2053 CR par nature'!L16</f>
        <v>410000</v>
      </c>
      <c r="L6" s="466"/>
      <c r="M6" s="57"/>
      <c r="N6" s="211"/>
      <c r="O6" s="55"/>
      <c r="P6" s="55"/>
      <c r="Q6" s="55"/>
    </row>
    <row r="7" spans="1:17" ht="14.25" hidden="1" customHeight="1" outlineLevel="1" thickBot="1">
      <c r="A7" s="4"/>
      <c r="B7" s="4"/>
      <c r="C7" s="4"/>
      <c r="D7" s="1552" t="s">
        <v>568</v>
      </c>
      <c r="E7" s="1553"/>
      <c r="F7" s="1554"/>
      <c r="G7" s="149" t="s">
        <v>127</v>
      </c>
      <c r="H7" s="99">
        <v>6037</v>
      </c>
      <c r="I7" s="98"/>
      <c r="J7" s="483">
        <f>'2052 et 2053 CR par nature'!K17</f>
        <v>-367000</v>
      </c>
      <c r="K7" s="484">
        <f>'2052 et 2053 CR par nature'!L17</f>
        <v>5000</v>
      </c>
      <c r="L7" s="484"/>
      <c r="M7" s="485"/>
      <c r="N7" s="211"/>
      <c r="O7" s="55"/>
      <c r="P7" s="55"/>
      <c r="Q7" s="55"/>
    </row>
    <row r="8" spans="1:17" ht="30" customHeight="1" collapsed="1">
      <c r="A8" s="4"/>
      <c r="B8" s="4"/>
      <c r="C8" s="726" t="s">
        <v>201</v>
      </c>
      <c r="D8" s="1558" t="s">
        <v>1951</v>
      </c>
      <c r="E8" s="1559"/>
      <c r="F8" s="1560"/>
      <c r="G8" s="151"/>
      <c r="H8" s="43"/>
      <c r="I8" s="43"/>
      <c r="J8" s="486">
        <f>J5-J6-J7</f>
        <v>667000</v>
      </c>
      <c r="K8" s="486">
        <f>K5-K6-K7</f>
        <v>235000</v>
      </c>
      <c r="L8" s="487">
        <f>IF(K8=0,"",(J8-K8)/K8)</f>
        <v>1.8382978723404255</v>
      </c>
      <c r="M8" s="59"/>
      <c r="N8" s="211"/>
      <c r="O8" s="55"/>
      <c r="P8" s="55"/>
      <c r="Q8" s="55"/>
    </row>
    <row r="9" spans="1:17" ht="38.25" hidden="1" customHeight="1" outlineLevel="1">
      <c r="A9" s="4"/>
      <c r="B9" s="4"/>
      <c r="C9" s="4"/>
      <c r="D9" s="1004" t="s">
        <v>128</v>
      </c>
      <c r="E9" s="1005"/>
      <c r="F9" s="1521"/>
      <c r="G9" s="133" t="s">
        <v>129</v>
      </c>
      <c r="H9" s="34" t="s">
        <v>130</v>
      </c>
      <c r="I9" s="31"/>
      <c r="J9" s="67">
        <f>'2052 et 2053 CR par nature'!K7+'2052 et 2053 CR par nature'!K8</f>
        <v>20557000</v>
      </c>
      <c r="K9" s="67">
        <f>'2052 et 2053 CR par nature'!L7+'2052 et 2053 CR par nature'!L8</f>
        <v>16737000</v>
      </c>
      <c r="L9" s="466"/>
      <c r="M9" s="57"/>
      <c r="N9" s="211"/>
      <c r="O9" s="55"/>
      <c r="P9" s="55"/>
      <c r="Q9" s="55"/>
    </row>
    <row r="10" spans="1:17" ht="18" hidden="1" customHeight="1" outlineLevel="1">
      <c r="A10" s="4"/>
      <c r="B10" s="4"/>
      <c r="C10" s="4"/>
      <c r="D10" s="1004" t="s">
        <v>131</v>
      </c>
      <c r="E10" s="1005"/>
      <c r="F10" s="1521"/>
      <c r="G10" s="133" t="s">
        <v>132</v>
      </c>
      <c r="H10" s="32">
        <v>72</v>
      </c>
      <c r="I10" s="31"/>
      <c r="J10" s="67">
        <f>'2052 et 2053 CR par nature'!K11</f>
        <v>125000</v>
      </c>
      <c r="K10" s="466">
        <f>'2052 et 2053 CR par nature'!L11</f>
        <v>0</v>
      </c>
      <c r="L10" s="466"/>
      <c r="M10" s="57"/>
      <c r="N10" s="211"/>
      <c r="O10" s="55"/>
      <c r="P10" s="55"/>
      <c r="Q10" s="55"/>
    </row>
    <row r="11" spans="1:17" ht="33.75" hidden="1" customHeight="1" outlineLevel="1">
      <c r="A11" s="4"/>
      <c r="B11" s="4"/>
      <c r="C11" s="4"/>
      <c r="D11" s="1004" t="s">
        <v>133</v>
      </c>
      <c r="E11" s="1005"/>
      <c r="F11" s="1521"/>
      <c r="G11" s="133" t="s">
        <v>134</v>
      </c>
      <c r="H11" s="32">
        <v>713</v>
      </c>
      <c r="I11" s="37" t="s">
        <v>135</v>
      </c>
      <c r="J11" s="67">
        <f>'2052 et 2053 CR par nature'!K10</f>
        <v>-78000</v>
      </c>
      <c r="K11" s="466">
        <f>'2052 et 2053 CR par nature'!L10</f>
        <v>5500</v>
      </c>
      <c r="L11" s="466"/>
      <c r="M11" s="57"/>
      <c r="N11" s="211"/>
      <c r="O11" s="55"/>
      <c r="P11" s="55"/>
      <c r="Q11" s="55"/>
    </row>
    <row r="12" spans="1:17" ht="30" customHeight="1" collapsed="1">
      <c r="A12" s="4"/>
      <c r="B12" s="4"/>
      <c r="C12" s="726" t="s">
        <v>201</v>
      </c>
      <c r="D12" s="1561" t="s">
        <v>212</v>
      </c>
      <c r="E12" s="1562"/>
      <c r="F12" s="1563"/>
      <c r="G12" s="133"/>
      <c r="H12" s="31"/>
      <c r="I12" s="31"/>
      <c r="J12" s="66">
        <f>J9+J10+J11</f>
        <v>20604000</v>
      </c>
      <c r="K12" s="66">
        <f>K9+K10+K11</f>
        <v>16742500</v>
      </c>
      <c r="L12" s="482">
        <f>IF(K12=0,"",(J12-K12)/K12)</f>
        <v>0.23064058533671794</v>
      </c>
      <c r="M12" s="57"/>
      <c r="N12" s="211"/>
      <c r="O12" s="55"/>
      <c r="P12" s="55"/>
      <c r="Q12" s="55"/>
    </row>
    <row r="13" spans="1:17" ht="12.75" hidden="1" customHeight="1" outlineLevel="1">
      <c r="A13" s="4"/>
      <c r="B13" s="4"/>
      <c r="C13" s="4"/>
      <c r="D13" s="1004" t="s">
        <v>136</v>
      </c>
      <c r="E13" s="1005"/>
      <c r="F13" s="1521"/>
      <c r="G13" s="133"/>
      <c r="H13" s="31"/>
      <c r="I13" s="31" t="s">
        <v>137</v>
      </c>
      <c r="J13" s="68">
        <f>J8+J12</f>
        <v>21271000</v>
      </c>
      <c r="K13" s="68">
        <f>K8+K12</f>
        <v>16977500</v>
      </c>
      <c r="L13" s="481"/>
      <c r="M13" s="57"/>
      <c r="N13" s="211"/>
      <c r="O13" s="55"/>
      <c r="P13" s="55"/>
      <c r="Q13" s="55"/>
    </row>
    <row r="14" spans="1:17" ht="13.2" hidden="1" outlineLevel="2">
      <c r="A14" s="4"/>
      <c r="B14" s="4"/>
      <c r="C14" s="4"/>
      <c r="D14" s="60"/>
      <c r="E14" s="1142" t="s">
        <v>138</v>
      </c>
      <c r="F14" s="1521"/>
      <c r="G14" s="133" t="s">
        <v>139</v>
      </c>
      <c r="H14" s="510" t="s">
        <v>1960</v>
      </c>
      <c r="I14" s="31"/>
      <c r="J14" s="67">
        <f>'2052 et 2053 CR par nature'!K18</f>
        <v>6450000</v>
      </c>
      <c r="K14" s="67">
        <f>'2052 et 2053 CR par nature'!L18</f>
        <v>5550800</v>
      </c>
      <c r="L14" s="466"/>
      <c r="M14" s="57"/>
      <c r="N14" s="211"/>
      <c r="O14" s="55"/>
      <c r="P14" s="55"/>
      <c r="Q14" s="55"/>
    </row>
    <row r="15" spans="1:17" ht="12.75" hidden="1" customHeight="1" outlineLevel="2">
      <c r="A15" s="4"/>
      <c r="B15" s="4"/>
      <c r="C15" s="4"/>
      <c r="D15" s="60"/>
      <c r="E15" s="1142" t="s">
        <v>140</v>
      </c>
      <c r="F15" s="1521"/>
      <c r="G15" s="133" t="s">
        <v>141</v>
      </c>
      <c r="H15" s="32" t="s">
        <v>142</v>
      </c>
      <c r="I15" s="31"/>
      <c r="J15" s="67">
        <f>'2052 et 2053 CR par nature'!K19</f>
        <v>35000</v>
      </c>
      <c r="K15" s="67">
        <f>'2052 et 2053 CR par nature'!L19</f>
        <v>20000</v>
      </c>
      <c r="L15" s="466"/>
      <c r="M15" s="57"/>
      <c r="N15" s="211"/>
      <c r="O15" s="55"/>
      <c r="P15" s="55"/>
      <c r="Q15" s="55"/>
    </row>
    <row r="16" spans="1:17" ht="26.4" hidden="1" outlineLevel="2">
      <c r="A16" s="4"/>
      <c r="B16" s="4"/>
      <c r="C16" s="4"/>
      <c r="D16" s="60"/>
      <c r="E16" s="1142" t="s">
        <v>143</v>
      </c>
      <c r="F16" s="1521"/>
      <c r="G16" s="133" t="s">
        <v>144</v>
      </c>
      <c r="H16" s="510" t="s">
        <v>1959</v>
      </c>
      <c r="I16" s="31"/>
      <c r="J16" s="67">
        <f>'2052 et 2053 CR par nature'!K20</f>
        <v>6000000</v>
      </c>
      <c r="K16" s="67">
        <f>'2052 et 2053 CR par nature'!L20</f>
        <v>4800000</v>
      </c>
      <c r="L16" s="466"/>
      <c r="M16" s="57"/>
      <c r="N16" s="211"/>
      <c r="O16" s="55"/>
      <c r="P16" s="55"/>
      <c r="Q16" s="55"/>
    </row>
    <row r="17" spans="1:17" ht="12.75" hidden="1" customHeight="1" outlineLevel="1" collapsed="1">
      <c r="A17" s="4"/>
      <c r="B17" s="4"/>
      <c r="C17" s="4"/>
      <c r="D17" s="1004" t="s">
        <v>145</v>
      </c>
      <c r="E17" s="1005"/>
      <c r="F17" s="1521"/>
      <c r="G17" s="133"/>
      <c r="H17" s="31"/>
      <c r="I17" s="31"/>
      <c r="J17" s="68">
        <f>J14+J15+J16</f>
        <v>12485000</v>
      </c>
      <c r="K17" s="68">
        <f>K14+K15+K16</f>
        <v>10370800</v>
      </c>
      <c r="L17" s="481"/>
      <c r="M17" s="57"/>
      <c r="N17" s="211"/>
      <c r="O17" s="55"/>
      <c r="P17" s="55"/>
      <c r="Q17" s="55"/>
    </row>
    <row r="18" spans="1:17" ht="30" customHeight="1" collapsed="1">
      <c r="A18" s="4"/>
      <c r="B18" s="4"/>
      <c r="C18" s="726" t="s">
        <v>201</v>
      </c>
      <c r="D18" s="1561" t="s">
        <v>1952</v>
      </c>
      <c r="E18" s="1562"/>
      <c r="F18" s="1563"/>
      <c r="G18" s="133"/>
      <c r="H18" s="31"/>
      <c r="I18" s="31"/>
      <c r="J18" s="66">
        <f>J13-J17</f>
        <v>8786000</v>
      </c>
      <c r="K18" s="66">
        <f>K13-K17</f>
        <v>6606700</v>
      </c>
      <c r="L18" s="482">
        <f>IF(K18=0,"",(J18-K18)/K18)</f>
        <v>0.3298621096765405</v>
      </c>
      <c r="M18" s="57"/>
      <c r="N18" s="211"/>
    </row>
    <row r="19" spans="1:17" ht="12.75" hidden="1" customHeight="1" outlineLevel="1">
      <c r="A19" s="4"/>
      <c r="B19" s="4"/>
      <c r="C19" s="4"/>
      <c r="D19" s="1004" t="s">
        <v>146</v>
      </c>
      <c r="E19" s="1005"/>
      <c r="F19" s="1521"/>
      <c r="G19" s="133" t="s">
        <v>147</v>
      </c>
      <c r="H19" s="32">
        <v>74</v>
      </c>
      <c r="I19" s="31"/>
      <c r="J19" s="67">
        <f>'2052 et 2053 CR par nature'!K12</f>
        <v>0</v>
      </c>
      <c r="K19" s="67">
        <f>'2052 et 2053 CR par nature'!L12</f>
        <v>12000</v>
      </c>
      <c r="L19" s="466"/>
      <c r="M19" s="57"/>
      <c r="N19" s="211"/>
    </row>
    <row r="20" spans="1:17" ht="12.75" hidden="1" customHeight="1" outlineLevel="1">
      <c r="A20" s="4"/>
      <c r="B20" s="4"/>
      <c r="C20" s="4"/>
      <c r="D20" s="1004" t="s">
        <v>148</v>
      </c>
      <c r="E20" s="1005"/>
      <c r="F20" s="1521"/>
      <c r="G20" s="133" t="s">
        <v>149</v>
      </c>
      <c r="H20" s="32">
        <v>63</v>
      </c>
      <c r="I20" s="31"/>
      <c r="J20" s="67">
        <f>'2052 et 2053 CR par nature'!K21</f>
        <v>685000</v>
      </c>
      <c r="K20" s="67">
        <f>'2052 et 2053 CR par nature'!L21</f>
        <v>650000</v>
      </c>
      <c r="L20" s="466"/>
      <c r="M20" s="57"/>
      <c r="N20" s="211"/>
    </row>
    <row r="21" spans="1:17" ht="12.75" hidden="1" customHeight="1" outlineLevel="2">
      <c r="A21" s="4"/>
      <c r="B21" s="4"/>
      <c r="C21" s="4"/>
      <c r="D21" s="60"/>
      <c r="E21" s="1142" t="s">
        <v>150</v>
      </c>
      <c r="F21" s="1521"/>
      <c r="G21" s="133" t="s">
        <v>151</v>
      </c>
      <c r="H21" s="32" t="s">
        <v>152</v>
      </c>
      <c r="I21" s="31"/>
      <c r="J21" s="67">
        <f>'2052 et 2053 CR par nature'!K22</f>
        <v>2846000</v>
      </c>
      <c r="K21" s="67">
        <f>'2052 et 2053 CR par nature'!L22</f>
        <v>2206000</v>
      </c>
      <c r="L21" s="466"/>
      <c r="M21" s="57"/>
      <c r="N21" s="211"/>
    </row>
    <row r="22" spans="1:17" ht="12.75" hidden="1" customHeight="1" outlineLevel="2">
      <c r="A22" s="4"/>
      <c r="B22" s="4"/>
      <c r="C22" s="4"/>
      <c r="D22" s="60"/>
      <c r="E22" s="1142" t="s">
        <v>153</v>
      </c>
      <c r="F22" s="1521"/>
      <c r="G22" s="133" t="s">
        <v>154</v>
      </c>
      <c r="H22" s="32" t="s">
        <v>155</v>
      </c>
      <c r="I22" s="31"/>
      <c r="J22" s="67">
        <f>'2052 et 2053 CR par nature'!K23</f>
        <v>1280700</v>
      </c>
      <c r="K22" s="67">
        <f>'2052 et 2053 CR par nature'!L23</f>
        <v>992700</v>
      </c>
      <c r="L22" s="466"/>
      <c r="M22" s="57"/>
      <c r="N22" s="211"/>
    </row>
    <row r="23" spans="1:17" ht="12.75" hidden="1" customHeight="1" outlineLevel="1" collapsed="1">
      <c r="A23" s="4"/>
      <c r="B23" s="4"/>
      <c r="C23" s="4"/>
      <c r="D23" s="1004" t="s">
        <v>156</v>
      </c>
      <c r="E23" s="1005"/>
      <c r="F23" s="1521"/>
      <c r="G23" s="133"/>
      <c r="H23" s="31"/>
      <c r="I23" s="31"/>
      <c r="J23" s="68">
        <f>J21+J22</f>
        <v>4126700</v>
      </c>
      <c r="K23" s="68">
        <f>K21+K22</f>
        <v>3198700</v>
      </c>
      <c r="L23" s="481"/>
      <c r="M23" s="57"/>
      <c r="N23" s="211"/>
    </row>
    <row r="24" spans="1:17" ht="30" customHeight="1" collapsed="1">
      <c r="A24" s="4"/>
      <c r="B24" s="4"/>
      <c r="C24" s="726" t="s">
        <v>201</v>
      </c>
      <c r="D24" s="1561" t="s">
        <v>1953</v>
      </c>
      <c r="E24" s="1562"/>
      <c r="F24" s="1563"/>
      <c r="G24" s="915" t="s">
        <v>2023</v>
      </c>
      <c r="H24" s="31"/>
      <c r="I24" s="31"/>
      <c r="J24" s="66">
        <f>J18+J19-J20-J23</f>
        <v>3974300</v>
      </c>
      <c r="K24" s="66">
        <f>K18+K19-K20-K23</f>
        <v>2770000</v>
      </c>
      <c r="L24" s="482">
        <f>IF(K24=0,"",(J24-K24)/K24)</f>
        <v>0.43476534296028879</v>
      </c>
      <c r="M24" s="57"/>
      <c r="N24" s="211"/>
    </row>
    <row r="25" spans="1:17" ht="12.75" hidden="1" customHeight="1" outlineLevel="1">
      <c r="A25" s="4"/>
      <c r="B25" s="4"/>
      <c r="C25" s="4"/>
      <c r="D25" s="1004" t="s">
        <v>157</v>
      </c>
      <c r="E25" s="1005"/>
      <c r="F25" s="1521"/>
      <c r="G25" s="133" t="s">
        <v>158</v>
      </c>
      <c r="H25" s="32" t="s">
        <v>159</v>
      </c>
      <c r="I25" s="31"/>
      <c r="J25" s="67">
        <f>'2052 et 2053 CR par nature'!K13</f>
        <v>0</v>
      </c>
      <c r="K25" s="466"/>
      <c r="L25" s="466"/>
      <c r="M25" s="57"/>
      <c r="N25" s="211"/>
    </row>
    <row r="26" spans="1:17" ht="12.75" hidden="1" customHeight="1" outlineLevel="1">
      <c r="A26" s="4"/>
      <c r="B26" s="4"/>
      <c r="C26" s="4"/>
      <c r="D26" s="1004" t="s">
        <v>160</v>
      </c>
      <c r="E26" s="1005"/>
      <c r="F26" s="1521"/>
      <c r="G26" s="133" t="s">
        <v>161</v>
      </c>
      <c r="H26" s="32">
        <v>681</v>
      </c>
      <c r="I26" s="31"/>
      <c r="J26" s="67">
        <f>'2052 et 2053 CR par nature'!K24+'2052 et 2053 CR par nature'!K25+'2052 et 2053 CR par nature'!K26+'2052 et 2053 CR par nature'!K27</f>
        <v>1444000</v>
      </c>
      <c r="K26" s="67">
        <f>'2052 et 2053 CR par nature'!L24+'2052 et 2053 CR par nature'!L25+'2052 et 2053 CR par nature'!L26+'2052 et 2053 CR par nature'!L27</f>
        <v>1050000</v>
      </c>
      <c r="L26" s="466"/>
      <c r="M26" s="57"/>
      <c r="N26" s="211"/>
    </row>
    <row r="27" spans="1:17" ht="25.5" hidden="1" customHeight="1" outlineLevel="1">
      <c r="A27" s="4"/>
      <c r="B27" s="4"/>
      <c r="C27" s="4"/>
      <c r="D27" s="1004" t="s">
        <v>162</v>
      </c>
      <c r="E27" s="1005"/>
      <c r="F27" s="1521"/>
      <c r="G27" s="133" t="s">
        <v>163</v>
      </c>
      <c r="H27" s="34" t="s">
        <v>164</v>
      </c>
      <c r="I27" s="31"/>
      <c r="J27" s="67">
        <f>'2052 et 2053 CR par nature'!K14</f>
        <v>0</v>
      </c>
      <c r="K27" s="67">
        <f>'2052 et 2053 CR par nature'!L14</f>
        <v>0</v>
      </c>
      <c r="L27" s="466"/>
      <c r="M27" s="57"/>
      <c r="N27" s="211"/>
    </row>
    <row r="28" spans="1:17" ht="25.5" hidden="1" customHeight="1" outlineLevel="1">
      <c r="A28" s="4"/>
      <c r="B28" s="4"/>
      <c r="C28" s="4"/>
      <c r="D28" s="1004" t="s">
        <v>165</v>
      </c>
      <c r="E28" s="1005"/>
      <c r="F28" s="1521"/>
      <c r="G28" s="133" t="s">
        <v>166</v>
      </c>
      <c r="H28" s="34" t="s">
        <v>167</v>
      </c>
      <c r="I28" s="31"/>
      <c r="J28" s="67">
        <f>'2052 et 2053 CR par nature'!K28</f>
        <v>0</v>
      </c>
      <c r="K28" s="67">
        <f>'2052 et 2053 CR par nature'!L28</f>
        <v>0</v>
      </c>
      <c r="L28" s="466"/>
      <c r="M28" s="57"/>
      <c r="N28" s="211"/>
    </row>
    <row r="29" spans="1:17" ht="30" customHeight="1" collapsed="1">
      <c r="A29" s="4"/>
      <c r="B29" s="4"/>
      <c r="C29" s="726" t="s">
        <v>201</v>
      </c>
      <c r="D29" s="1561" t="s">
        <v>1954</v>
      </c>
      <c r="E29" s="1562"/>
      <c r="F29" s="1563"/>
      <c r="G29" s="133" t="s">
        <v>168</v>
      </c>
      <c r="H29" s="31"/>
      <c r="I29" s="31"/>
      <c r="J29" s="66">
        <f>J24+J25-J26+J27-J28</f>
        <v>2530300</v>
      </c>
      <c r="K29" s="66">
        <f>K24+K25-K26+K27-K28</f>
        <v>1720000</v>
      </c>
      <c r="L29" s="482">
        <f>IF(K29=0,"",(J29-K29)/K29)</f>
        <v>0.47110465116279071</v>
      </c>
      <c r="M29" s="57"/>
      <c r="N29" s="211"/>
    </row>
    <row r="30" spans="1:17" ht="12.75" hidden="1" customHeight="1" outlineLevel="1">
      <c r="A30" s="4"/>
      <c r="B30" s="4"/>
      <c r="C30" s="4"/>
      <c r="D30" s="1004" t="s">
        <v>169</v>
      </c>
      <c r="E30" s="1005"/>
      <c r="F30" s="1521"/>
      <c r="G30" s="133" t="s">
        <v>170</v>
      </c>
      <c r="H30" s="32">
        <v>755</v>
      </c>
      <c r="I30" s="31"/>
      <c r="J30" s="67">
        <f>'2052 et 2053 CR par nature'!K31</f>
        <v>0</v>
      </c>
      <c r="K30" s="67">
        <f>'2052 et 2053 CR par nature'!L31</f>
        <v>0</v>
      </c>
      <c r="L30" s="466"/>
      <c r="M30" s="57"/>
      <c r="N30" s="211"/>
    </row>
    <row r="31" spans="1:17" ht="12.75" hidden="1" customHeight="1" outlineLevel="1">
      <c r="A31" s="4"/>
      <c r="B31" s="4"/>
      <c r="C31" s="4"/>
      <c r="D31" s="1004" t="s">
        <v>171</v>
      </c>
      <c r="E31" s="1005"/>
      <c r="F31" s="1521"/>
      <c r="G31" s="133" t="s">
        <v>172</v>
      </c>
      <c r="H31" s="32">
        <v>655</v>
      </c>
      <c r="I31" s="31"/>
      <c r="J31" s="67">
        <f>'2052 et 2053 CR par nature'!K32</f>
        <v>0</v>
      </c>
      <c r="K31" s="67">
        <f>'2052 et 2053 CR par nature'!L32</f>
        <v>0</v>
      </c>
      <c r="L31" s="466"/>
      <c r="M31" s="57"/>
      <c r="N31" s="211"/>
    </row>
    <row r="32" spans="1:17" ht="12.75" hidden="1" customHeight="1" outlineLevel="1">
      <c r="A32" s="4"/>
      <c r="B32" s="4"/>
      <c r="C32" s="4"/>
      <c r="D32" s="1004" t="s">
        <v>173</v>
      </c>
      <c r="E32" s="1005"/>
      <c r="F32" s="1521"/>
      <c r="G32" s="133" t="s">
        <v>174</v>
      </c>
      <c r="H32" s="32" t="s">
        <v>175</v>
      </c>
      <c r="I32" s="31"/>
      <c r="J32" s="67">
        <f>'2052 et 2053 CR par nature'!K39</f>
        <v>0</v>
      </c>
      <c r="K32" s="67">
        <f>'2052 et 2053 CR par nature'!L39</f>
        <v>0</v>
      </c>
      <c r="L32" s="466"/>
      <c r="M32" s="57"/>
      <c r="N32" s="211"/>
    </row>
    <row r="33" spans="1:14" ht="12.75" hidden="1" customHeight="1" outlineLevel="1">
      <c r="A33" s="4"/>
      <c r="B33" s="4"/>
      <c r="C33" s="4"/>
      <c r="D33" s="1004" t="s">
        <v>176</v>
      </c>
      <c r="E33" s="1005"/>
      <c r="F33" s="1521"/>
      <c r="G33" s="133" t="s">
        <v>177</v>
      </c>
      <c r="H33" s="32" t="s">
        <v>178</v>
      </c>
      <c r="I33" s="31"/>
      <c r="J33" s="67">
        <f>'2052 et 2053 CR par nature'!K44</f>
        <v>315000</v>
      </c>
      <c r="K33" s="67">
        <f>'2052 et 2053 CR par nature'!L44</f>
        <v>239000</v>
      </c>
      <c r="L33" s="466"/>
      <c r="M33" s="57"/>
      <c r="N33" s="211"/>
    </row>
    <row r="34" spans="1:14" ht="30" customHeight="1" collapsed="1">
      <c r="A34" s="4"/>
      <c r="B34" s="4"/>
      <c r="C34" s="726" t="s">
        <v>201</v>
      </c>
      <c r="D34" s="1561" t="s">
        <v>1955</v>
      </c>
      <c r="E34" s="1562"/>
      <c r="F34" s="1563"/>
      <c r="G34" s="133" t="s">
        <v>179</v>
      </c>
      <c r="H34" s="31"/>
      <c r="I34" s="31"/>
      <c r="J34" s="66">
        <f>J29+J30-J31+J32-J33</f>
        <v>2215300</v>
      </c>
      <c r="K34" s="66">
        <f>K29+K30-K31+K32-K33</f>
        <v>1481000</v>
      </c>
      <c r="L34" s="482">
        <f>IF(K34=0,"",(J34-K34)/K34)</f>
        <v>0.49581363943281564</v>
      </c>
      <c r="M34" s="57"/>
      <c r="N34" s="211"/>
    </row>
    <row r="35" spans="1:14" ht="12.75" hidden="1" customHeight="1" outlineLevel="1">
      <c r="A35" s="4"/>
      <c r="B35" s="4"/>
      <c r="C35" s="4"/>
      <c r="D35" s="1536" t="s">
        <v>656</v>
      </c>
      <c r="E35" s="1111"/>
      <c r="F35" s="1537"/>
      <c r="G35" s="133" t="s">
        <v>180</v>
      </c>
      <c r="H35" s="32" t="s">
        <v>181</v>
      </c>
      <c r="I35" s="31"/>
      <c r="J35" s="67">
        <f>'2052 et 2053 CR par nature'!K50</f>
        <v>455000</v>
      </c>
      <c r="K35" s="67">
        <f>'2052 et 2053 CR par nature'!L50</f>
        <v>0</v>
      </c>
      <c r="L35" s="466"/>
      <c r="M35" s="57"/>
      <c r="N35" s="211"/>
    </row>
    <row r="36" spans="1:14" ht="12.75" hidden="1" customHeight="1" outlineLevel="1">
      <c r="A36" s="4"/>
      <c r="B36" s="4"/>
      <c r="C36" s="4"/>
      <c r="D36" s="1004" t="s">
        <v>182</v>
      </c>
      <c r="E36" s="1005"/>
      <c r="F36" s="1521"/>
      <c r="G36" s="133" t="s">
        <v>183</v>
      </c>
      <c r="H36" s="32" t="s">
        <v>184</v>
      </c>
      <c r="I36" s="31"/>
      <c r="J36" s="67">
        <f>'2052 et 2053 CR par nature'!K54</f>
        <v>390000</v>
      </c>
      <c r="K36" s="67">
        <f>'2052 et 2053 CR par nature'!L54</f>
        <v>20800</v>
      </c>
      <c r="L36" s="466"/>
      <c r="M36" s="57"/>
      <c r="N36" s="211"/>
    </row>
    <row r="37" spans="1:14" ht="30" customHeight="1" collapsed="1">
      <c r="A37" s="4"/>
      <c r="B37" s="4"/>
      <c r="C37" s="726" t="s">
        <v>201</v>
      </c>
      <c r="D37" s="1561" t="s">
        <v>1956</v>
      </c>
      <c r="E37" s="1562"/>
      <c r="F37" s="1563"/>
      <c r="G37" s="133" t="s">
        <v>185</v>
      </c>
      <c r="H37" s="32"/>
      <c r="I37" s="31"/>
      <c r="J37" s="66">
        <f>J35-J36</f>
        <v>65000</v>
      </c>
      <c r="K37" s="66">
        <f>K35-K36</f>
        <v>-20800</v>
      </c>
      <c r="L37" s="482">
        <f>IF(K37=0,"",(J37-K37)/K37)</f>
        <v>-4.125</v>
      </c>
      <c r="M37" s="57"/>
      <c r="N37" s="211"/>
    </row>
    <row r="38" spans="1:14" ht="12.75" hidden="1" customHeight="1" outlineLevel="1">
      <c r="A38" s="4"/>
      <c r="B38" s="4"/>
      <c r="C38" s="4"/>
      <c r="D38" s="1004" t="s">
        <v>186</v>
      </c>
      <c r="E38" s="1005"/>
      <c r="F38" s="1521"/>
      <c r="G38" s="133" t="s">
        <v>187</v>
      </c>
      <c r="H38" s="32">
        <v>691</v>
      </c>
      <c r="I38" s="31"/>
      <c r="J38" s="67">
        <f>'2052 et 2053 CR par nature'!K56</f>
        <v>0</v>
      </c>
      <c r="K38" s="67">
        <f>'2052 et 2053 CR par nature'!L56</f>
        <v>0</v>
      </c>
      <c r="L38" s="466"/>
      <c r="M38" s="57"/>
      <c r="N38" s="211"/>
    </row>
    <row r="39" spans="1:14" ht="12.75" hidden="1" customHeight="1" outlineLevel="1">
      <c r="A39" s="4"/>
      <c r="B39" s="4"/>
      <c r="C39" s="4"/>
      <c r="D39" s="1004" t="s">
        <v>188</v>
      </c>
      <c r="E39" s="1005"/>
      <c r="F39" s="1521"/>
      <c r="G39" s="133" t="s">
        <v>189</v>
      </c>
      <c r="H39" s="32" t="s">
        <v>190</v>
      </c>
      <c r="I39" s="31"/>
      <c r="J39" s="67">
        <f>'2052 et 2053 CR par nature'!K57</f>
        <v>760025</v>
      </c>
      <c r="K39" s="67">
        <f>'2052 et 2053 CR par nature'!L57</f>
        <v>5000</v>
      </c>
      <c r="L39" s="466"/>
      <c r="M39" s="57"/>
      <c r="N39" s="211"/>
    </row>
    <row r="40" spans="1:14" ht="30" customHeight="1" collapsed="1">
      <c r="A40" s="4"/>
      <c r="B40" s="4"/>
      <c r="C40" s="726" t="s">
        <v>201</v>
      </c>
      <c r="D40" s="1561" t="s">
        <v>1957</v>
      </c>
      <c r="E40" s="1562"/>
      <c r="F40" s="1563"/>
      <c r="G40" s="133" t="s">
        <v>191</v>
      </c>
      <c r="H40" s="32"/>
      <c r="I40" s="31"/>
      <c r="J40" s="66">
        <f>J34+J37-J38-J39</f>
        <v>1520275</v>
      </c>
      <c r="K40" s="66">
        <f>K34+K37-K38-K39</f>
        <v>1455200</v>
      </c>
      <c r="L40" s="482">
        <f>IF(K40=0,"",(J40-K40)/K40)</f>
        <v>4.471893897746014E-2</v>
      </c>
      <c r="M40" s="57"/>
      <c r="N40" s="211"/>
    </row>
    <row r="41" spans="1:14" ht="12.75" hidden="1" customHeight="1" outlineLevel="1">
      <c r="A41" s="4"/>
      <c r="B41" s="4"/>
      <c r="C41" s="4"/>
      <c r="D41" s="1004" t="s">
        <v>192</v>
      </c>
      <c r="E41" s="1005"/>
      <c r="F41" s="1521"/>
      <c r="G41" s="133" t="s">
        <v>193</v>
      </c>
      <c r="H41" s="32">
        <v>775</v>
      </c>
      <c r="I41" s="31"/>
      <c r="J41" s="67">
        <f>'2052 et 2053 CR par nature'!L76</f>
        <v>0</v>
      </c>
      <c r="K41" s="466"/>
      <c r="L41" s="466"/>
      <c r="M41" s="57"/>
      <c r="N41" s="211"/>
    </row>
    <row r="42" spans="1:14" ht="12.75" hidden="1" customHeight="1" outlineLevel="1">
      <c r="A42" s="4"/>
      <c r="B42" s="4"/>
      <c r="C42" s="4"/>
      <c r="D42" s="1004" t="s">
        <v>194</v>
      </c>
      <c r="E42" s="1005"/>
      <c r="F42" s="1521"/>
      <c r="G42" s="133" t="s">
        <v>195</v>
      </c>
      <c r="H42" s="32">
        <v>675</v>
      </c>
      <c r="I42" s="31"/>
      <c r="J42" s="67">
        <f>'2052 et 2053 CR par nature'!K77</f>
        <v>0</v>
      </c>
      <c r="K42" s="466"/>
      <c r="L42" s="466"/>
      <c r="M42" s="57"/>
      <c r="N42" s="211"/>
    </row>
    <row r="43" spans="1:14" ht="30" customHeight="1" collapsed="1" thickBot="1">
      <c r="A43" s="4"/>
      <c r="B43" s="4"/>
      <c r="C43" s="726" t="s">
        <v>201</v>
      </c>
      <c r="D43" s="1527" t="s">
        <v>1958</v>
      </c>
      <c r="E43" s="1528"/>
      <c r="F43" s="1529"/>
      <c r="G43" s="148"/>
      <c r="H43" s="44"/>
      <c r="I43" s="45"/>
      <c r="J43" s="69">
        <f>J41-J42</f>
        <v>0</v>
      </c>
      <c r="K43" s="69">
        <f>K41-K42</f>
        <v>0</v>
      </c>
      <c r="L43" s="488" t="str">
        <f>IF(K43=0,"",(J43-K43)/K43)</f>
        <v/>
      </c>
      <c r="M43" s="58"/>
      <c r="N43" s="211"/>
    </row>
    <row r="44" spans="1:14" ht="15.75" customHeight="1" thickBot="1"/>
    <row r="45" spans="1:14" s="55" customFormat="1" ht="27" customHeight="1" thickBot="1">
      <c r="B45" s="1555" t="s">
        <v>1969</v>
      </c>
      <c r="C45" s="1556"/>
      <c r="D45" s="1556"/>
      <c r="E45" s="1556"/>
      <c r="F45" s="1556"/>
      <c r="G45" s="1556"/>
      <c r="H45" s="1556"/>
      <c r="I45" s="1556"/>
      <c r="J45" s="1556"/>
      <c r="K45" s="1556"/>
      <c r="L45" s="1556"/>
      <c r="M45" s="1557"/>
      <c r="N45" s="211"/>
    </row>
    <row r="46" spans="1:14" ht="12" customHeight="1" thickBot="1">
      <c r="B46" s="154"/>
      <c r="C46" s="154"/>
      <c r="D46" s="154"/>
      <c r="E46" s="154"/>
      <c r="F46" s="154"/>
    </row>
    <row r="47" spans="1:14" s="55" customFormat="1" ht="31.5" customHeight="1" thickBot="1">
      <c r="A47" s="4"/>
      <c r="B47" s="23"/>
      <c r="C47" s="23"/>
      <c r="D47" s="23"/>
      <c r="E47" s="753"/>
      <c r="F47" s="754"/>
      <c r="G47" s="752" t="s">
        <v>43</v>
      </c>
      <c r="H47" s="61" t="s">
        <v>0</v>
      </c>
      <c r="I47" s="62" t="s">
        <v>196</v>
      </c>
      <c r="J47" s="788" t="s">
        <v>838</v>
      </c>
      <c r="K47" s="788" t="s">
        <v>839</v>
      </c>
      <c r="L47" s="789" t="s">
        <v>795</v>
      </c>
      <c r="M47" s="790" t="s">
        <v>120</v>
      </c>
      <c r="N47" s="211"/>
    </row>
    <row r="48" spans="1:14" s="46" customFormat="1" ht="12.75" hidden="1" customHeight="1" outlineLevel="1">
      <c r="A48" s="4"/>
      <c r="B48" s="1551" t="s">
        <v>197</v>
      </c>
      <c r="C48" s="758"/>
      <c r="D48" s="762" t="s">
        <v>198</v>
      </c>
      <c r="E48" s="580"/>
      <c r="F48" s="583"/>
      <c r="G48" s="751" t="s">
        <v>199</v>
      </c>
      <c r="H48" s="581" t="s">
        <v>200</v>
      </c>
      <c r="I48" s="582"/>
      <c r="J48" s="755">
        <f>'2052 et 2053 CR par nature'!K6</f>
        <v>550000</v>
      </c>
      <c r="K48" s="922"/>
      <c r="L48" s="43"/>
      <c r="M48" s="756"/>
    </row>
    <row r="49" spans="1:13" s="46" customFormat="1" ht="25.5" hidden="1" customHeight="1" outlineLevel="1">
      <c r="A49" s="4"/>
      <c r="B49" s="1542"/>
      <c r="C49" s="20"/>
      <c r="D49" s="763" t="s">
        <v>652</v>
      </c>
      <c r="E49" s="5"/>
      <c r="F49" s="584"/>
      <c r="G49" s="737" t="s">
        <v>654</v>
      </c>
      <c r="H49" s="11" t="s">
        <v>655</v>
      </c>
      <c r="I49" s="14"/>
      <c r="J49" s="727">
        <f>'2052 et 2053 CR par nature'!K16</f>
        <v>250000</v>
      </c>
      <c r="K49" s="923"/>
      <c r="L49" s="918"/>
      <c r="M49" s="746"/>
    </row>
    <row r="50" spans="1:13" s="47" customFormat="1" ht="25.5" hidden="1" customHeight="1" outlineLevel="1" thickBot="1">
      <c r="A50" s="4"/>
      <c r="B50" s="1542"/>
      <c r="C50" s="20"/>
      <c r="D50" s="764" t="s">
        <v>653</v>
      </c>
      <c r="E50" s="765"/>
      <c r="F50" s="766"/>
      <c r="G50" s="767" t="s">
        <v>127</v>
      </c>
      <c r="H50" s="768">
        <v>6037</v>
      </c>
      <c r="I50" s="587"/>
      <c r="J50" s="769">
        <f>'2052 et 2053 CR par nature'!K17</f>
        <v>-367000</v>
      </c>
      <c r="K50" s="924"/>
      <c r="L50" s="45"/>
      <c r="M50" s="770"/>
    </row>
    <row r="51" spans="1:13" s="46" customFormat="1" ht="35.1" customHeight="1" collapsed="1">
      <c r="A51" s="4"/>
      <c r="B51" s="1542"/>
      <c r="C51" s="20" t="s">
        <v>201</v>
      </c>
      <c r="D51" s="1566" t="s">
        <v>202</v>
      </c>
      <c r="E51" s="1567"/>
      <c r="F51" s="1568"/>
      <c r="G51" s="739"/>
      <c r="H51" s="91"/>
      <c r="I51" s="759" t="s">
        <v>203</v>
      </c>
      <c r="J51" s="760">
        <f>J48-J49-J50</f>
        <v>667000</v>
      </c>
      <c r="K51" s="567"/>
      <c r="L51" s="134"/>
      <c r="M51" s="761"/>
    </row>
    <row r="52" spans="1:13" s="46" customFormat="1" ht="38.25" hidden="1" customHeight="1" outlineLevel="1">
      <c r="A52" s="4"/>
      <c r="B52" s="1542"/>
      <c r="C52" s="20"/>
      <c r="D52" s="741" t="s">
        <v>204</v>
      </c>
      <c r="E52" s="5"/>
      <c r="F52" s="584"/>
      <c r="G52" s="737" t="s">
        <v>205</v>
      </c>
      <c r="H52" s="11" t="s">
        <v>206</v>
      </c>
      <c r="I52" s="14"/>
      <c r="J52" s="727">
        <f>'2052 et 2053 CR par nature'!K7+'2052 et 2053 CR par nature'!K8</f>
        <v>20557000</v>
      </c>
      <c r="K52" s="553"/>
      <c r="L52" s="918"/>
      <c r="M52" s="48"/>
    </row>
    <row r="53" spans="1:13" s="46" customFormat="1" ht="12.75" hidden="1" customHeight="1" outlineLevel="1">
      <c r="A53" s="4"/>
      <c r="B53" s="1542"/>
      <c r="C53" s="20"/>
      <c r="D53" s="741" t="s">
        <v>207</v>
      </c>
      <c r="E53" s="5"/>
      <c r="F53" s="584"/>
      <c r="G53" s="736" t="s">
        <v>208</v>
      </c>
      <c r="H53" s="10">
        <v>713</v>
      </c>
      <c r="I53" s="14"/>
      <c r="J53" s="727">
        <f>'2052 et 2053 CR par nature'!K10</f>
        <v>-78000</v>
      </c>
      <c r="K53" s="553"/>
      <c r="L53" s="918"/>
      <c r="M53" s="48"/>
    </row>
    <row r="54" spans="1:13" s="46" customFormat="1" ht="12.75" hidden="1" customHeight="1" outlineLevel="1">
      <c r="A54" s="4"/>
      <c r="B54" s="1542"/>
      <c r="C54" s="20"/>
      <c r="D54" s="741" t="s">
        <v>209</v>
      </c>
      <c r="E54" s="5"/>
      <c r="F54" s="584"/>
      <c r="G54" s="736" t="s">
        <v>210</v>
      </c>
      <c r="H54" s="10">
        <v>72</v>
      </c>
      <c r="I54" s="14"/>
      <c r="J54" s="727">
        <f>'2052 et 2053 CR par nature'!K11</f>
        <v>125000</v>
      </c>
      <c r="K54" s="553"/>
      <c r="L54" s="918"/>
      <c r="M54" s="48"/>
    </row>
    <row r="55" spans="1:13" s="46" customFormat="1" ht="35.1" customHeight="1" collapsed="1">
      <c r="A55" s="4"/>
      <c r="B55" s="1542"/>
      <c r="C55" s="20" t="s">
        <v>211</v>
      </c>
      <c r="D55" s="1524" t="s">
        <v>212</v>
      </c>
      <c r="E55" s="1525"/>
      <c r="F55" s="1526"/>
      <c r="G55" s="736"/>
      <c r="H55" s="10"/>
      <c r="I55" s="14" t="s">
        <v>213</v>
      </c>
      <c r="J55" s="730">
        <f>J52+J53+J54</f>
        <v>20604000</v>
      </c>
      <c r="K55" s="553"/>
      <c r="L55" s="918"/>
      <c r="M55" s="48"/>
    </row>
    <row r="56" spans="1:13" s="46" customFormat="1" ht="12.75" hidden="1" customHeight="1" outlineLevel="2">
      <c r="A56" s="4"/>
      <c r="B56" s="1542"/>
      <c r="C56" s="20"/>
      <c r="D56" s="741"/>
      <c r="E56" s="15" t="s">
        <v>214</v>
      </c>
      <c r="F56" s="584"/>
      <c r="G56" s="736"/>
      <c r="H56" s="11">
        <v>604</v>
      </c>
      <c r="I56" s="1550" t="s">
        <v>215</v>
      </c>
      <c r="J56" s="727"/>
      <c r="K56" s="553"/>
      <c r="L56" s="918"/>
      <c r="M56" s="48"/>
    </row>
    <row r="57" spans="1:13" s="46" customFormat="1" ht="12.75" hidden="1" customHeight="1" outlineLevel="2">
      <c r="A57" s="4"/>
      <c r="B57" s="1542"/>
      <c r="C57" s="20"/>
      <c r="D57" s="741"/>
      <c r="E57" s="15" t="s">
        <v>216</v>
      </c>
      <c r="F57" s="584"/>
      <c r="G57" s="736"/>
      <c r="H57" s="11">
        <v>6084</v>
      </c>
      <c r="I57" s="1546"/>
      <c r="J57" s="727"/>
      <c r="K57" s="553"/>
      <c r="L57" s="918"/>
      <c r="M57" s="48"/>
    </row>
    <row r="58" spans="1:13" s="46" customFormat="1" ht="12.75" hidden="1" customHeight="1" outlineLevel="2">
      <c r="A58" s="4"/>
      <c r="B58" s="1542"/>
      <c r="C58" s="20"/>
      <c r="D58" s="741"/>
      <c r="E58" s="15" t="s">
        <v>217</v>
      </c>
      <c r="F58" s="584"/>
      <c r="G58" s="736"/>
      <c r="H58" s="11">
        <v>6094</v>
      </c>
      <c r="I58" s="1546"/>
      <c r="J58" s="727"/>
      <c r="K58" s="553"/>
      <c r="L58" s="918"/>
      <c r="M58" s="48"/>
    </row>
    <row r="59" spans="1:13" s="46" customFormat="1" ht="12.75" hidden="1" customHeight="1" outlineLevel="2">
      <c r="A59" s="4"/>
      <c r="B59" s="1542"/>
      <c r="C59" s="20"/>
      <c r="D59" s="741"/>
      <c r="E59" s="15" t="s">
        <v>218</v>
      </c>
      <c r="F59" s="584"/>
      <c r="G59" s="736"/>
      <c r="H59" s="11">
        <v>605</v>
      </c>
      <c r="I59" s="1546"/>
      <c r="J59" s="727"/>
      <c r="K59" s="553"/>
      <c r="L59" s="918"/>
      <c r="M59" s="48"/>
    </row>
    <row r="60" spans="1:13" s="46" customFormat="1" ht="12.75" hidden="1" customHeight="1" outlineLevel="2">
      <c r="A60" s="4"/>
      <c r="B60" s="1542"/>
      <c r="C60" s="20"/>
      <c r="D60" s="741"/>
      <c r="E60" s="15" t="s">
        <v>219</v>
      </c>
      <c r="F60" s="584"/>
      <c r="G60" s="736"/>
      <c r="H60" s="11">
        <v>6085</v>
      </c>
      <c r="I60" s="1546"/>
      <c r="J60" s="727"/>
      <c r="K60" s="553"/>
      <c r="L60" s="918"/>
      <c r="M60" s="48"/>
    </row>
    <row r="61" spans="1:13" s="46" customFormat="1" ht="12.75" hidden="1" customHeight="1" outlineLevel="2">
      <c r="A61" s="4"/>
      <c r="B61" s="1542"/>
      <c r="C61" s="20"/>
      <c r="D61" s="741"/>
      <c r="E61" s="15" t="s">
        <v>220</v>
      </c>
      <c r="F61" s="584"/>
      <c r="G61" s="736"/>
      <c r="H61" s="11">
        <v>6095</v>
      </c>
      <c r="I61" s="1546"/>
      <c r="J61" s="727"/>
      <c r="K61" s="553"/>
      <c r="L61" s="918"/>
      <c r="M61" s="48"/>
    </row>
    <row r="62" spans="1:13" s="46" customFormat="1" ht="12.75" hidden="1" customHeight="1" outlineLevel="2">
      <c r="A62" s="4"/>
      <c r="B62" s="1542"/>
      <c r="C62" s="20"/>
      <c r="D62" s="741"/>
      <c r="E62" s="16" t="s">
        <v>221</v>
      </c>
      <c r="F62" s="584"/>
      <c r="G62" s="736"/>
      <c r="H62" s="11">
        <v>611</v>
      </c>
      <c r="I62" s="1545" t="s">
        <v>222</v>
      </c>
      <c r="J62" s="727"/>
      <c r="K62" s="553"/>
      <c r="L62" s="918"/>
      <c r="M62" s="48"/>
    </row>
    <row r="63" spans="1:13" s="46" customFormat="1" ht="12.75" hidden="1" customHeight="1" outlineLevel="2">
      <c r="A63" s="4"/>
      <c r="B63" s="1542"/>
      <c r="C63" s="20"/>
      <c r="D63" s="741"/>
      <c r="E63" s="16" t="s">
        <v>223</v>
      </c>
      <c r="F63" s="584"/>
      <c r="G63" s="736"/>
      <c r="H63" s="11">
        <v>619</v>
      </c>
      <c r="I63" s="1546"/>
      <c r="J63" s="727"/>
      <c r="K63" s="553"/>
      <c r="L63" s="918"/>
      <c r="M63" s="48"/>
    </row>
    <row r="64" spans="1:13" s="46" customFormat="1" ht="52.8" hidden="1" outlineLevel="1" collapsed="1">
      <c r="A64" s="4"/>
      <c r="B64" s="1542"/>
      <c r="C64" s="20"/>
      <c r="D64" s="742" t="s">
        <v>224</v>
      </c>
      <c r="E64" s="56"/>
      <c r="F64" s="733"/>
      <c r="G64" s="737" t="s">
        <v>225</v>
      </c>
      <c r="H64" s="11" t="s">
        <v>226</v>
      </c>
      <c r="I64" s="17" t="s">
        <v>227</v>
      </c>
      <c r="J64" s="728">
        <f>'Informations complémentaire'!G74</f>
        <v>0</v>
      </c>
      <c r="K64" s="553"/>
      <c r="L64" s="918"/>
      <c r="M64" s="48"/>
    </row>
    <row r="65" spans="1:13" s="46" customFormat="1" ht="35.1" customHeight="1" collapsed="1">
      <c r="A65" s="4"/>
      <c r="B65" s="1542"/>
      <c r="C65" s="20" t="s">
        <v>228</v>
      </c>
      <c r="D65" s="1569" t="s">
        <v>229</v>
      </c>
      <c r="E65" s="1570"/>
      <c r="F65" s="1571"/>
      <c r="G65" s="491"/>
      <c r="H65" s="10"/>
      <c r="I65" s="14"/>
      <c r="J65" s="730">
        <f>J55-J64</f>
        <v>20604000</v>
      </c>
      <c r="K65" s="553"/>
      <c r="L65" s="918"/>
      <c r="M65" s="48"/>
    </row>
    <row r="66" spans="1:13" s="46" customFormat="1" ht="12.75" hidden="1" customHeight="1" outlineLevel="3">
      <c r="A66" s="4"/>
      <c r="B66" s="1542"/>
      <c r="C66" s="20"/>
      <c r="D66" s="743"/>
      <c r="E66" s="492"/>
      <c r="F66" s="744" t="s">
        <v>230</v>
      </c>
      <c r="G66" s="578"/>
      <c r="H66" s="83">
        <v>601</v>
      </c>
      <c r="I66" s="17"/>
      <c r="J66" s="729"/>
      <c r="K66" s="553"/>
      <c r="L66" s="918"/>
      <c r="M66" s="48"/>
    </row>
    <row r="67" spans="1:13" s="46" customFormat="1" ht="12.75" hidden="1" customHeight="1" outlineLevel="3">
      <c r="A67" s="4"/>
      <c r="B67" s="1542"/>
      <c r="C67" s="20"/>
      <c r="D67" s="745"/>
      <c r="E67" s="923"/>
      <c r="F67" s="746" t="s">
        <v>232</v>
      </c>
      <c r="G67" s="578"/>
      <c r="H67" s="83">
        <v>602</v>
      </c>
      <c r="I67" s="17"/>
      <c r="J67" s="729"/>
      <c r="K67" s="553"/>
      <c r="L67" s="918"/>
      <c r="M67" s="48"/>
    </row>
    <row r="68" spans="1:13" s="46" customFormat="1" ht="12.75" hidden="1" customHeight="1" outlineLevel="3">
      <c r="A68" s="4"/>
      <c r="B68" s="1542"/>
      <c r="C68" s="20"/>
      <c r="D68" s="745"/>
      <c r="E68" s="923"/>
      <c r="F68" s="746" t="s">
        <v>233</v>
      </c>
      <c r="G68" s="578"/>
      <c r="H68" s="83">
        <v>6081</v>
      </c>
      <c r="I68" s="17"/>
      <c r="J68" s="729"/>
      <c r="K68" s="553"/>
      <c r="L68" s="918"/>
      <c r="M68" s="48"/>
    </row>
    <row r="69" spans="1:13" s="46" customFormat="1" ht="12.75" hidden="1" customHeight="1" outlineLevel="3">
      <c r="A69" s="4"/>
      <c r="B69" s="1542"/>
      <c r="C69" s="20"/>
      <c r="D69" s="745"/>
      <c r="E69" s="923"/>
      <c r="F69" s="746" t="s">
        <v>234</v>
      </c>
      <c r="G69" s="578"/>
      <c r="H69" s="83">
        <v>6082</v>
      </c>
      <c r="I69" s="17"/>
      <c r="J69" s="729"/>
      <c r="K69" s="553"/>
      <c r="L69" s="918"/>
      <c r="M69" s="48"/>
    </row>
    <row r="70" spans="1:13" s="46" customFormat="1" ht="12.75" hidden="1" customHeight="1" outlineLevel="3">
      <c r="A70" s="4"/>
      <c r="B70" s="1542"/>
      <c r="C70" s="20"/>
      <c r="D70" s="745"/>
      <c r="E70" s="923"/>
      <c r="F70" s="746" t="s">
        <v>235</v>
      </c>
      <c r="G70" s="578"/>
      <c r="H70" s="83">
        <v>6091</v>
      </c>
      <c r="I70" s="17"/>
      <c r="J70" s="729"/>
      <c r="K70" s="553"/>
      <c r="L70" s="918"/>
      <c r="M70" s="48"/>
    </row>
    <row r="71" spans="1:13" s="47" customFormat="1" ht="12.75" hidden="1" customHeight="1" outlineLevel="3">
      <c r="A71" s="4"/>
      <c r="B71" s="1542"/>
      <c r="C71" s="20"/>
      <c r="D71" s="745"/>
      <c r="E71" s="923"/>
      <c r="F71" s="746" t="s">
        <v>236</v>
      </c>
      <c r="G71" s="578"/>
      <c r="H71" s="83">
        <v>6092</v>
      </c>
      <c r="I71" s="17"/>
      <c r="J71" s="729"/>
      <c r="K71" s="553"/>
      <c r="L71" s="918"/>
      <c r="M71" s="48"/>
    </row>
    <row r="72" spans="1:13" s="46" customFormat="1" ht="12.75" hidden="1" customHeight="1" outlineLevel="2" collapsed="1">
      <c r="A72" s="4"/>
      <c r="B72" s="1542"/>
      <c r="C72" s="20"/>
      <c r="D72" s="745"/>
      <c r="E72" s="38" t="s">
        <v>657</v>
      </c>
      <c r="F72" s="746"/>
      <c r="G72" s="920" t="s">
        <v>231</v>
      </c>
      <c r="H72" s="925"/>
      <c r="I72" s="17"/>
      <c r="J72" s="727">
        <f>'2052 et 2053 CR par nature'!K18</f>
        <v>6450000</v>
      </c>
      <c r="K72" s="553"/>
      <c r="L72" s="918"/>
      <c r="M72" s="48"/>
    </row>
    <row r="73" spans="1:13" s="46" customFormat="1" ht="12.75" hidden="1" customHeight="1" outlineLevel="3">
      <c r="A73" s="4"/>
      <c r="B73" s="1542"/>
      <c r="C73" s="20"/>
      <c r="D73" s="745"/>
      <c r="E73" s="923"/>
      <c r="F73" s="746" t="s">
        <v>237</v>
      </c>
      <c r="G73" s="578"/>
      <c r="H73" s="83">
        <v>6031</v>
      </c>
      <c r="I73" s="17"/>
      <c r="J73" s="729"/>
      <c r="K73" s="553"/>
      <c r="L73" s="918"/>
      <c r="M73" s="48"/>
    </row>
    <row r="74" spans="1:13" s="47" customFormat="1" ht="12.75" hidden="1" customHeight="1" outlineLevel="3">
      <c r="A74" s="4"/>
      <c r="B74" s="1542"/>
      <c r="C74" s="20"/>
      <c r="D74" s="745"/>
      <c r="E74" s="923"/>
      <c r="F74" s="746" t="s">
        <v>239</v>
      </c>
      <c r="G74" s="917"/>
      <c r="H74" s="83">
        <v>6032</v>
      </c>
      <c r="I74" s="17"/>
      <c r="J74" s="729"/>
      <c r="K74" s="553"/>
      <c r="L74" s="918"/>
      <c r="M74" s="48"/>
    </row>
    <row r="75" spans="1:13" s="46" customFormat="1" ht="12.75" hidden="1" customHeight="1" outlineLevel="2" collapsed="1">
      <c r="A75" s="4"/>
      <c r="B75" s="1542"/>
      <c r="C75" s="20"/>
      <c r="D75" s="745"/>
      <c r="E75" s="918" t="s">
        <v>658</v>
      </c>
      <c r="F75" s="746"/>
      <c r="G75" s="920" t="s">
        <v>238</v>
      </c>
      <c r="H75" s="83"/>
      <c r="I75" s="17"/>
      <c r="J75" s="727">
        <f>'2052 et 2053 CR par nature'!K19</f>
        <v>35000</v>
      </c>
      <c r="K75" s="553"/>
      <c r="L75" s="918"/>
      <c r="M75" s="48"/>
    </row>
    <row r="76" spans="1:13" s="46" customFormat="1" ht="51" hidden="1" customHeight="1" outlineLevel="1" collapsed="1">
      <c r="A76" s="4"/>
      <c r="B76" s="1542"/>
      <c r="C76" s="20"/>
      <c r="D76" s="741" t="s">
        <v>240</v>
      </c>
      <c r="E76" s="22"/>
      <c r="F76" s="584"/>
      <c r="G76" s="738" t="s">
        <v>241</v>
      </c>
      <c r="H76" s="83" t="s">
        <v>242</v>
      </c>
      <c r="I76" s="17" t="s">
        <v>243</v>
      </c>
      <c r="J76" s="728">
        <f>J72+J75</f>
        <v>6485000</v>
      </c>
      <c r="K76" s="553"/>
      <c r="L76" s="918"/>
      <c r="M76" s="48"/>
    </row>
    <row r="77" spans="1:13" s="46" customFormat="1" ht="35.1" customHeight="1" collapsed="1">
      <c r="A77" s="4"/>
      <c r="B77" s="1542"/>
      <c r="C77" s="20" t="s">
        <v>244</v>
      </c>
      <c r="D77" s="1524" t="s">
        <v>245</v>
      </c>
      <c r="E77" s="1525"/>
      <c r="F77" s="1526"/>
      <c r="G77" s="739"/>
      <c r="H77" s="10"/>
      <c r="I77" s="17" t="s">
        <v>246</v>
      </c>
      <c r="J77" s="730">
        <f>J65-J76</f>
        <v>14119000</v>
      </c>
      <c r="K77" s="553"/>
      <c r="L77" s="918"/>
      <c r="M77" s="48"/>
    </row>
    <row r="78" spans="1:13" s="46" customFormat="1" ht="12.75" hidden="1" customHeight="1" outlineLevel="1">
      <c r="A78" s="4"/>
      <c r="B78" s="1542"/>
      <c r="C78" s="20"/>
      <c r="D78" s="747"/>
      <c r="E78" s="5" t="s">
        <v>247</v>
      </c>
      <c r="F78" s="584"/>
      <c r="G78" s="736"/>
      <c r="H78" s="10"/>
      <c r="I78" s="17" t="s">
        <v>248</v>
      </c>
      <c r="J78" s="728">
        <f>J51</f>
        <v>667000</v>
      </c>
      <c r="K78" s="553"/>
      <c r="L78" s="918"/>
      <c r="M78" s="48"/>
    </row>
    <row r="79" spans="1:13" s="46" customFormat="1" ht="12.75" hidden="1" customHeight="1" outlineLevel="1">
      <c r="A79" s="4"/>
      <c r="B79" s="1542"/>
      <c r="C79" s="20"/>
      <c r="D79" s="747"/>
      <c r="E79" s="5" t="s">
        <v>249</v>
      </c>
      <c r="F79" s="584"/>
      <c r="G79" s="736"/>
      <c r="H79" s="10"/>
      <c r="I79" s="17" t="s">
        <v>250</v>
      </c>
      <c r="J79" s="728">
        <f>J77</f>
        <v>14119000</v>
      </c>
      <c r="K79" s="553"/>
      <c r="L79" s="918"/>
      <c r="M79" s="48"/>
    </row>
    <row r="80" spans="1:13" s="46" customFormat="1" ht="35.1" customHeight="1" collapsed="1">
      <c r="A80" s="4"/>
      <c r="B80" s="1542"/>
      <c r="C80" s="20"/>
      <c r="D80" s="1524" t="s">
        <v>251</v>
      </c>
      <c r="E80" s="1525"/>
      <c r="F80" s="1526"/>
      <c r="G80" s="736"/>
      <c r="H80" s="10"/>
      <c r="I80" s="17" t="s">
        <v>252</v>
      </c>
      <c r="J80" s="730">
        <f>J51+J77</f>
        <v>14786000</v>
      </c>
      <c r="K80" s="553"/>
      <c r="L80" s="918"/>
      <c r="M80" s="48"/>
    </row>
    <row r="81" spans="1:13" s="46" customFormat="1" ht="12.75" hidden="1" customHeight="1" outlineLevel="3">
      <c r="A81" s="4"/>
      <c r="B81" s="1542"/>
      <c r="C81" s="20"/>
      <c r="D81" s="741"/>
      <c r="E81" s="5"/>
      <c r="F81" s="584" t="s">
        <v>253</v>
      </c>
      <c r="G81" s="736"/>
      <c r="H81" s="11">
        <v>604</v>
      </c>
      <c r="I81" s="14"/>
      <c r="J81" s="728"/>
      <c r="K81" s="553"/>
      <c r="L81" s="918"/>
      <c r="M81" s="48"/>
    </row>
    <row r="82" spans="1:13" s="46" customFormat="1" ht="12.75" hidden="1" customHeight="1" outlineLevel="3">
      <c r="A82" s="4"/>
      <c r="B82" s="1542"/>
      <c r="C82" s="20"/>
      <c r="D82" s="741"/>
      <c r="E82" s="5"/>
      <c r="F82" s="584" t="s">
        <v>254</v>
      </c>
      <c r="G82" s="736"/>
      <c r="H82" s="11" t="s">
        <v>255</v>
      </c>
      <c r="I82" s="14"/>
      <c r="J82" s="728"/>
      <c r="K82" s="553"/>
      <c r="L82" s="918"/>
      <c r="M82" s="48"/>
    </row>
    <row r="83" spans="1:13" s="46" customFormat="1" ht="12.75" hidden="1" customHeight="1" outlineLevel="3">
      <c r="A83" s="4"/>
      <c r="B83" s="1542"/>
      <c r="C83" s="20"/>
      <c r="D83" s="741"/>
      <c r="E83" s="5"/>
      <c r="F83" s="584" t="s">
        <v>256</v>
      </c>
      <c r="G83" s="736"/>
      <c r="H83" s="11">
        <v>605</v>
      </c>
      <c r="I83" s="14"/>
      <c r="J83" s="728"/>
      <c r="K83" s="553"/>
      <c r="L83" s="918"/>
      <c r="M83" s="48"/>
    </row>
    <row r="84" spans="1:13" s="46" customFormat="1" ht="12.75" hidden="1" customHeight="1" outlineLevel="3">
      <c r="A84" s="4"/>
      <c r="B84" s="1542"/>
      <c r="C84" s="20"/>
      <c r="D84" s="741"/>
      <c r="E84" s="5"/>
      <c r="F84" s="584" t="s">
        <v>257</v>
      </c>
      <c r="G84" s="736"/>
      <c r="H84" s="11" t="s">
        <v>258</v>
      </c>
      <c r="I84" s="14"/>
      <c r="J84" s="728"/>
      <c r="K84" s="553"/>
      <c r="L84" s="918"/>
      <c r="M84" s="48"/>
    </row>
    <row r="85" spans="1:13" s="46" customFormat="1" ht="12.75" hidden="1" customHeight="1" outlineLevel="3">
      <c r="A85" s="4"/>
      <c r="B85" s="1542"/>
      <c r="C85" s="20"/>
      <c r="D85" s="741"/>
      <c r="E85" s="5"/>
      <c r="F85" s="584" t="s">
        <v>259</v>
      </c>
      <c r="G85" s="736"/>
      <c r="H85" s="11">
        <v>606</v>
      </c>
      <c r="I85" s="14"/>
      <c r="J85" s="728"/>
      <c r="K85" s="553"/>
      <c r="L85" s="918"/>
      <c r="M85" s="48"/>
    </row>
    <row r="86" spans="1:13" s="46" customFormat="1" ht="12.75" hidden="1" customHeight="1" outlineLevel="3">
      <c r="A86" s="4"/>
      <c r="B86" s="1542"/>
      <c r="C86" s="20"/>
      <c r="D86" s="741"/>
      <c r="E86" s="5"/>
      <c r="F86" s="584" t="s">
        <v>260</v>
      </c>
      <c r="G86" s="736"/>
      <c r="H86" s="11" t="s">
        <v>261</v>
      </c>
      <c r="I86" s="14"/>
      <c r="J86" s="728"/>
      <c r="K86" s="553"/>
      <c r="L86" s="918"/>
      <c r="M86" s="48"/>
    </row>
    <row r="87" spans="1:13" s="46" customFormat="1" ht="12.75" hidden="1" customHeight="1" outlineLevel="3">
      <c r="A87" s="4"/>
      <c r="B87" s="1542"/>
      <c r="C87" s="20"/>
      <c r="D87" s="741"/>
      <c r="E87" s="5"/>
      <c r="F87" s="584" t="s">
        <v>262</v>
      </c>
      <c r="G87" s="736"/>
      <c r="H87" s="11">
        <v>61</v>
      </c>
      <c r="I87" s="14"/>
      <c r="J87" s="728"/>
      <c r="K87" s="553"/>
      <c r="L87" s="918"/>
      <c r="M87" s="48"/>
    </row>
    <row r="88" spans="1:13" s="46" customFormat="1" ht="12.75" hidden="1" customHeight="1" outlineLevel="3">
      <c r="A88" s="4"/>
      <c r="B88" s="1542"/>
      <c r="C88" s="20"/>
      <c r="D88" s="741"/>
      <c r="E88" s="5"/>
      <c r="F88" s="584" t="s">
        <v>263</v>
      </c>
      <c r="G88" s="736"/>
      <c r="H88" s="11" t="s">
        <v>264</v>
      </c>
      <c r="I88" s="14"/>
      <c r="J88" s="728"/>
      <c r="K88" s="553"/>
      <c r="L88" s="918"/>
      <c r="M88" s="48"/>
    </row>
    <row r="89" spans="1:13" s="46" customFormat="1" ht="12.75" hidden="1" customHeight="1" outlineLevel="3">
      <c r="A89" s="4"/>
      <c r="B89" s="1542"/>
      <c r="C89" s="20"/>
      <c r="D89" s="741"/>
      <c r="E89" s="5"/>
      <c r="F89" s="584" t="s">
        <v>265</v>
      </c>
      <c r="G89" s="736"/>
      <c r="H89" s="11">
        <v>62</v>
      </c>
      <c r="I89" s="14"/>
      <c r="J89" s="728"/>
      <c r="K89" s="553"/>
      <c r="L89" s="918"/>
      <c r="M89" s="48"/>
    </row>
    <row r="90" spans="1:13" s="46" customFormat="1" ht="12.75" hidden="1" customHeight="1" outlineLevel="3">
      <c r="A90" s="4"/>
      <c r="B90" s="1542"/>
      <c r="C90" s="20"/>
      <c r="D90" s="741"/>
      <c r="E90" s="5"/>
      <c r="F90" s="584" t="s">
        <v>266</v>
      </c>
      <c r="G90" s="736"/>
      <c r="H90" s="11" t="s">
        <v>267</v>
      </c>
      <c r="I90" s="14"/>
      <c r="J90" s="728"/>
      <c r="K90" s="553"/>
      <c r="L90" s="918"/>
      <c r="M90" s="48"/>
    </row>
    <row r="91" spans="1:13" s="46" customFormat="1" ht="12.75" hidden="1" customHeight="1" outlineLevel="3">
      <c r="A91" s="4"/>
      <c r="B91" s="1542"/>
      <c r="C91" s="20"/>
      <c r="D91" s="741"/>
      <c r="E91" s="5"/>
      <c r="F91" s="584" t="s">
        <v>268</v>
      </c>
      <c r="G91" s="736"/>
      <c r="H91" s="11">
        <v>608</v>
      </c>
      <c r="I91" s="14"/>
      <c r="J91" s="728"/>
      <c r="K91" s="553"/>
      <c r="L91" s="918"/>
      <c r="M91" s="48"/>
    </row>
    <row r="92" spans="1:13" s="46" customFormat="1" ht="72.75" hidden="1" customHeight="1" outlineLevel="2" collapsed="1">
      <c r="A92" s="4"/>
      <c r="B92" s="1542"/>
      <c r="C92" s="20"/>
      <c r="D92" s="741"/>
      <c r="E92" s="5" t="s">
        <v>269</v>
      </c>
      <c r="F92" s="584"/>
      <c r="G92" s="736" t="s">
        <v>270</v>
      </c>
      <c r="H92" s="11" t="s">
        <v>271</v>
      </c>
      <c r="I92" s="14"/>
      <c r="J92" s="727">
        <f>'2052 et 2053 CR par nature'!K20</f>
        <v>6000000</v>
      </c>
      <c r="K92" s="553"/>
      <c r="L92" s="918"/>
      <c r="M92" s="48"/>
    </row>
    <row r="93" spans="1:13" s="46" customFormat="1" ht="12.75" hidden="1" customHeight="1" outlineLevel="3">
      <c r="A93" s="4"/>
      <c r="B93" s="1542"/>
      <c r="C93" s="20"/>
      <c r="D93" s="741"/>
      <c r="E93" s="5"/>
      <c r="F93" s="748" t="s">
        <v>272</v>
      </c>
      <c r="G93" s="736"/>
      <c r="H93" s="11">
        <v>604</v>
      </c>
      <c r="I93" s="1550" t="s">
        <v>273</v>
      </c>
      <c r="J93" s="727"/>
      <c r="K93" s="553"/>
      <c r="L93" s="918"/>
      <c r="M93" s="48"/>
    </row>
    <row r="94" spans="1:13" s="46" customFormat="1" ht="12.75" hidden="1" customHeight="1" outlineLevel="3">
      <c r="A94" s="4"/>
      <c r="B94" s="1542"/>
      <c r="C94" s="20"/>
      <c r="D94" s="741"/>
      <c r="E94" s="5"/>
      <c r="F94" s="748" t="s">
        <v>274</v>
      </c>
      <c r="G94" s="736"/>
      <c r="H94" s="11">
        <v>6084</v>
      </c>
      <c r="I94" s="1546"/>
      <c r="J94" s="727"/>
      <c r="K94" s="553"/>
      <c r="L94" s="918"/>
      <c r="M94" s="48"/>
    </row>
    <row r="95" spans="1:13" s="46" customFormat="1" ht="12.75" hidden="1" customHeight="1" outlineLevel="3">
      <c r="A95" s="4"/>
      <c r="B95" s="1542"/>
      <c r="C95" s="20"/>
      <c r="D95" s="741"/>
      <c r="E95" s="5"/>
      <c r="F95" s="748" t="s">
        <v>275</v>
      </c>
      <c r="G95" s="736"/>
      <c r="H95" s="11">
        <v>6094</v>
      </c>
      <c r="I95" s="1546"/>
      <c r="J95" s="727"/>
      <c r="K95" s="553"/>
      <c r="L95" s="918"/>
      <c r="M95" s="48"/>
    </row>
    <row r="96" spans="1:13" s="46" customFormat="1" ht="12.75" hidden="1" customHeight="1" outlineLevel="3">
      <c r="A96" s="4"/>
      <c r="B96" s="1542"/>
      <c r="C96" s="20"/>
      <c r="D96" s="741"/>
      <c r="E96" s="5"/>
      <c r="F96" s="748" t="s">
        <v>276</v>
      </c>
      <c r="G96" s="736"/>
      <c r="H96" s="11">
        <v>605</v>
      </c>
      <c r="I96" s="1546"/>
      <c r="J96" s="727"/>
      <c r="K96" s="553"/>
      <c r="L96" s="918"/>
      <c r="M96" s="48"/>
    </row>
    <row r="97" spans="1:13" s="46" customFormat="1" ht="12.75" hidden="1" customHeight="1" outlineLevel="3">
      <c r="A97" s="4"/>
      <c r="B97" s="1542"/>
      <c r="C97" s="20"/>
      <c r="D97" s="741"/>
      <c r="E97" s="5"/>
      <c r="F97" s="748" t="s">
        <v>277</v>
      </c>
      <c r="G97" s="736"/>
      <c r="H97" s="11">
        <v>6085</v>
      </c>
      <c r="I97" s="1546"/>
      <c r="J97" s="727"/>
      <c r="K97" s="553"/>
      <c r="L97" s="918"/>
      <c r="M97" s="48"/>
    </row>
    <row r="98" spans="1:13" s="46" customFormat="1" ht="12.75" hidden="1" customHeight="1" outlineLevel="3">
      <c r="A98" s="4"/>
      <c r="B98" s="1542"/>
      <c r="C98" s="20"/>
      <c r="D98" s="741"/>
      <c r="E98" s="5"/>
      <c r="F98" s="748" t="s">
        <v>278</v>
      </c>
      <c r="G98" s="736"/>
      <c r="H98" s="11">
        <v>6095</v>
      </c>
      <c r="I98" s="1546"/>
      <c r="J98" s="727"/>
      <c r="K98" s="553"/>
      <c r="L98" s="918"/>
      <c r="M98" s="48"/>
    </row>
    <row r="99" spans="1:13" s="46" customFormat="1" ht="12.75" hidden="1" customHeight="1" outlineLevel="3">
      <c r="A99" s="4"/>
      <c r="B99" s="1542"/>
      <c r="C99" s="20"/>
      <c r="D99" s="741"/>
      <c r="E99" s="5"/>
      <c r="F99" s="749" t="s">
        <v>279</v>
      </c>
      <c r="G99" s="736"/>
      <c r="H99" s="11">
        <v>611</v>
      </c>
      <c r="I99" s="1545" t="s">
        <v>280</v>
      </c>
      <c r="J99" s="727"/>
      <c r="K99" s="553"/>
      <c r="L99" s="918"/>
      <c r="M99" s="48"/>
    </row>
    <row r="100" spans="1:13" s="46" customFormat="1" ht="12.75" hidden="1" customHeight="1" outlineLevel="3">
      <c r="A100" s="4"/>
      <c r="B100" s="1542"/>
      <c r="C100" s="20"/>
      <c r="D100" s="741"/>
      <c r="E100" s="5"/>
      <c r="F100" s="749" t="s">
        <v>281</v>
      </c>
      <c r="G100" s="736"/>
      <c r="H100" s="11">
        <v>619</v>
      </c>
      <c r="I100" s="1546"/>
      <c r="J100" s="727"/>
      <c r="K100" s="553"/>
      <c r="L100" s="918"/>
      <c r="M100" s="48"/>
    </row>
    <row r="101" spans="1:13" s="46" customFormat="1" ht="12.75" hidden="1" customHeight="1" outlineLevel="2" collapsed="1">
      <c r="A101" s="4"/>
      <c r="B101" s="1542"/>
      <c r="C101" s="20"/>
      <c r="D101" s="741"/>
      <c r="E101" s="5" t="s">
        <v>282</v>
      </c>
      <c r="F101" s="584"/>
      <c r="G101" s="736"/>
      <c r="H101" s="10"/>
      <c r="I101" s="14"/>
      <c r="J101" s="727">
        <f>'Informations complémentaire'!G74</f>
        <v>0</v>
      </c>
      <c r="K101" s="553"/>
      <c r="L101" s="918"/>
      <c r="M101" s="48"/>
    </row>
    <row r="102" spans="1:13" s="46" customFormat="1" ht="12.75" hidden="1" customHeight="1" outlineLevel="2">
      <c r="A102" s="4"/>
      <c r="B102" s="1542"/>
      <c r="C102" s="20"/>
      <c r="D102" s="741"/>
      <c r="E102" s="5" t="s">
        <v>283</v>
      </c>
      <c r="F102" s="584"/>
      <c r="G102" s="736" t="s">
        <v>284</v>
      </c>
      <c r="H102" s="10">
        <v>612</v>
      </c>
      <c r="I102" s="14"/>
      <c r="J102" s="731">
        <f>'Informations complémentaire'!G29</f>
        <v>250000</v>
      </c>
      <c r="K102" s="553"/>
      <c r="L102" s="918"/>
      <c r="M102" s="48"/>
    </row>
    <row r="103" spans="1:13" s="46" customFormat="1" ht="12.75" hidden="1" customHeight="1" outlineLevel="2">
      <c r="A103" s="4"/>
      <c r="B103" s="1542"/>
      <c r="C103" s="20"/>
      <c r="D103" s="741"/>
      <c r="E103" s="84" t="s">
        <v>659</v>
      </c>
      <c r="F103" s="584"/>
      <c r="G103" s="736" t="s">
        <v>285</v>
      </c>
      <c r="H103" s="10">
        <v>621</v>
      </c>
      <c r="I103" s="14"/>
      <c r="J103" s="731">
        <f>'Informations complémentaire'!G73</f>
        <v>120000</v>
      </c>
      <c r="K103" s="553"/>
      <c r="L103" s="918"/>
      <c r="M103" s="48"/>
    </row>
    <row r="104" spans="1:13" s="46" customFormat="1" ht="12.75" hidden="1" customHeight="1" outlineLevel="1" collapsed="1">
      <c r="A104" s="4"/>
      <c r="B104" s="1542"/>
      <c r="C104" s="20"/>
      <c r="D104" s="741" t="s">
        <v>286</v>
      </c>
      <c r="E104" s="5"/>
      <c r="F104" s="584"/>
      <c r="G104" s="736"/>
      <c r="H104" s="10"/>
      <c r="I104" s="14"/>
      <c r="J104" s="728">
        <f>J92-J101-J102-J103</f>
        <v>5630000</v>
      </c>
      <c r="K104" s="553"/>
      <c r="L104" s="918"/>
      <c r="M104" s="48"/>
    </row>
    <row r="105" spans="1:13" s="46" customFormat="1" ht="90.75" hidden="1" customHeight="1" outlineLevel="1">
      <c r="A105" s="4"/>
      <c r="B105" s="1542"/>
      <c r="C105" s="20"/>
      <c r="D105" s="741" t="s">
        <v>287</v>
      </c>
      <c r="E105" s="5"/>
      <c r="F105" s="584"/>
      <c r="G105" s="736"/>
      <c r="H105" s="10">
        <v>74</v>
      </c>
      <c r="I105" s="17" t="s">
        <v>288</v>
      </c>
      <c r="J105" s="727">
        <f>'Informations complémentaire'!G76</f>
        <v>0</v>
      </c>
      <c r="K105" s="553"/>
      <c r="L105" s="918"/>
      <c r="M105" s="48"/>
    </row>
    <row r="106" spans="1:13" s="46" customFormat="1" ht="35.1" customHeight="1" collapsed="1">
      <c r="A106" s="4"/>
      <c r="B106" s="1542"/>
      <c r="C106" s="20" t="s">
        <v>289</v>
      </c>
      <c r="D106" s="1524" t="s">
        <v>290</v>
      </c>
      <c r="E106" s="1525"/>
      <c r="F106" s="1526"/>
      <c r="G106" s="736"/>
      <c r="H106" s="10"/>
      <c r="I106" s="642" t="s">
        <v>1844</v>
      </c>
      <c r="J106" s="730">
        <f>J80-J104+J105</f>
        <v>9156000</v>
      </c>
      <c r="K106" s="553"/>
      <c r="L106" s="918"/>
      <c r="M106" s="48"/>
    </row>
    <row r="107" spans="1:13" s="46" customFormat="1" ht="25.5" hidden="1" customHeight="1" outlineLevel="2">
      <c r="A107" s="4"/>
      <c r="B107" s="1542"/>
      <c r="C107" s="20"/>
      <c r="D107" s="741"/>
      <c r="E107" s="24" t="s">
        <v>624</v>
      </c>
      <c r="F107" s="584"/>
      <c r="G107" s="736"/>
      <c r="H107" s="10">
        <v>74</v>
      </c>
      <c r="I107" s="17" t="s">
        <v>291</v>
      </c>
      <c r="J107" s="727">
        <f>'2052 et 2053 CR par nature'!K12-'Informations complémentaire'!G76</f>
        <v>0</v>
      </c>
      <c r="K107" s="553"/>
      <c r="L107" s="918"/>
      <c r="M107" s="48"/>
    </row>
    <row r="108" spans="1:13" s="46" customFormat="1" ht="27.75" hidden="1" customHeight="1" outlineLevel="3">
      <c r="A108" s="4"/>
      <c r="B108" s="1542"/>
      <c r="C108" s="20"/>
      <c r="D108" s="741"/>
      <c r="E108" s="5"/>
      <c r="F108" s="750" t="s">
        <v>292</v>
      </c>
      <c r="G108" s="736"/>
      <c r="H108" s="10">
        <v>751</v>
      </c>
      <c r="I108" s="14"/>
      <c r="J108" s="728"/>
      <c r="K108" s="553"/>
      <c r="L108" s="918"/>
      <c r="M108" s="48"/>
    </row>
    <row r="109" spans="1:13" s="46" customFormat="1" ht="12.75" hidden="1" customHeight="1" outlineLevel="3">
      <c r="A109" s="4"/>
      <c r="B109" s="1542"/>
      <c r="C109" s="20"/>
      <c r="D109" s="741"/>
      <c r="E109" s="5"/>
      <c r="F109" s="584" t="s">
        <v>293</v>
      </c>
      <c r="G109" s="736"/>
      <c r="H109" s="10">
        <v>752</v>
      </c>
      <c r="I109" s="14"/>
      <c r="J109" s="728"/>
      <c r="K109" s="553"/>
      <c r="L109" s="918"/>
      <c r="M109" s="48"/>
    </row>
    <row r="110" spans="1:13" s="46" customFormat="1" ht="12.75" hidden="1" customHeight="1" outlineLevel="3">
      <c r="A110" s="4"/>
      <c r="B110" s="1542"/>
      <c r="C110" s="20"/>
      <c r="D110" s="741"/>
      <c r="E110" s="5"/>
      <c r="F110" s="584" t="s">
        <v>294</v>
      </c>
      <c r="G110" s="736"/>
      <c r="H110" s="10">
        <v>753</v>
      </c>
      <c r="I110" s="14"/>
      <c r="J110" s="728"/>
      <c r="K110" s="553"/>
      <c r="L110" s="918"/>
      <c r="M110" s="48"/>
    </row>
    <row r="111" spans="1:13" s="46" customFormat="1" ht="12.75" hidden="1" customHeight="1" outlineLevel="3">
      <c r="A111" s="4"/>
      <c r="B111" s="1542"/>
      <c r="C111" s="20"/>
      <c r="D111" s="741"/>
      <c r="E111" s="5"/>
      <c r="F111" s="584" t="s">
        <v>295</v>
      </c>
      <c r="G111" s="736"/>
      <c r="H111" s="10">
        <v>754</v>
      </c>
      <c r="I111" s="14"/>
      <c r="J111" s="728"/>
      <c r="K111" s="553"/>
      <c r="L111" s="918"/>
      <c r="M111" s="48"/>
    </row>
    <row r="112" spans="1:13" s="46" customFormat="1" ht="12.75" hidden="1" customHeight="1" outlineLevel="3">
      <c r="A112" s="4"/>
      <c r="B112" s="1542"/>
      <c r="C112" s="20"/>
      <c r="D112" s="741"/>
      <c r="E112" s="5"/>
      <c r="F112" s="584" t="s">
        <v>296</v>
      </c>
      <c r="G112" s="736"/>
      <c r="H112" s="10">
        <v>758</v>
      </c>
      <c r="I112" s="14"/>
      <c r="J112" s="728"/>
      <c r="K112" s="553"/>
      <c r="L112" s="918"/>
      <c r="M112" s="48"/>
    </row>
    <row r="113" spans="1:13" s="46" customFormat="1" ht="38.25" hidden="1" customHeight="1" outlineLevel="2" collapsed="1">
      <c r="A113" s="4"/>
      <c r="B113" s="1542"/>
      <c r="C113" s="20"/>
      <c r="D113" s="741"/>
      <c r="E113" s="5" t="s">
        <v>297</v>
      </c>
      <c r="F113" s="584"/>
      <c r="G113" s="736" t="s">
        <v>298</v>
      </c>
      <c r="H113" s="28" t="s">
        <v>592</v>
      </c>
      <c r="I113" s="14"/>
      <c r="J113" s="727">
        <f>'2052 et 2053 CR par nature'!K14</f>
        <v>0</v>
      </c>
      <c r="K113" s="553"/>
      <c r="L113" s="918"/>
      <c r="M113" s="48"/>
    </row>
    <row r="114" spans="1:13" s="46" customFormat="1" ht="25.5" hidden="1" customHeight="1" outlineLevel="3">
      <c r="A114" s="4"/>
      <c r="B114" s="1542"/>
      <c r="C114" s="20"/>
      <c r="D114" s="741"/>
      <c r="E114" s="5"/>
      <c r="F114" s="750" t="s">
        <v>299</v>
      </c>
      <c r="G114" s="736"/>
      <c r="H114" s="10">
        <v>651</v>
      </c>
      <c r="I114" s="14"/>
      <c r="J114" s="728"/>
      <c r="K114" s="553"/>
      <c r="L114" s="918"/>
      <c r="M114" s="48"/>
    </row>
    <row r="115" spans="1:13" s="46" customFormat="1" ht="12.75" hidden="1" customHeight="1" outlineLevel="3">
      <c r="A115" s="4"/>
      <c r="B115" s="1542"/>
      <c r="C115" s="20"/>
      <c r="D115" s="741"/>
      <c r="E115" s="5"/>
      <c r="F115" s="584" t="s">
        <v>300</v>
      </c>
      <c r="G115" s="736"/>
      <c r="H115" s="10">
        <v>653</v>
      </c>
      <c r="I115" s="14"/>
      <c r="J115" s="728"/>
      <c r="K115" s="553"/>
      <c r="L115" s="918"/>
      <c r="M115" s="48"/>
    </row>
    <row r="116" spans="1:13" s="46" customFormat="1" ht="12.75" hidden="1" customHeight="1" outlineLevel="3">
      <c r="A116" s="4"/>
      <c r="B116" s="1542"/>
      <c r="C116" s="20"/>
      <c r="D116" s="741"/>
      <c r="E116" s="5"/>
      <c r="F116" s="584" t="s">
        <v>301</v>
      </c>
      <c r="G116" s="736"/>
      <c r="H116" s="10">
        <v>654</v>
      </c>
      <c r="I116" s="14"/>
      <c r="J116" s="728"/>
      <c r="K116" s="553"/>
      <c r="L116" s="918"/>
      <c r="M116" s="48"/>
    </row>
    <row r="117" spans="1:13" s="46" customFormat="1" ht="12.75" hidden="1" customHeight="1" outlineLevel="3">
      <c r="A117" s="4"/>
      <c r="B117" s="1542"/>
      <c r="C117" s="20"/>
      <c r="D117" s="741"/>
      <c r="E117" s="5"/>
      <c r="F117" s="584" t="s">
        <v>302</v>
      </c>
      <c r="G117" s="736"/>
      <c r="H117" s="10">
        <v>658</v>
      </c>
      <c r="I117" s="14"/>
      <c r="J117" s="728"/>
      <c r="K117" s="553"/>
      <c r="L117" s="918"/>
      <c r="M117" s="48"/>
    </row>
    <row r="118" spans="1:13" s="46" customFormat="1" ht="25.5" hidden="1" customHeight="1" outlineLevel="2" collapsed="1">
      <c r="A118" s="4"/>
      <c r="B118" s="1542"/>
      <c r="C118" s="20"/>
      <c r="D118" s="741"/>
      <c r="E118" s="5" t="s">
        <v>303</v>
      </c>
      <c r="F118" s="584"/>
      <c r="G118" s="736" t="s">
        <v>304</v>
      </c>
      <c r="H118" s="28" t="s">
        <v>594</v>
      </c>
      <c r="I118" s="14"/>
      <c r="J118" s="727">
        <f>'2052 et 2053 CR par nature'!K28</f>
        <v>0</v>
      </c>
      <c r="K118" s="553"/>
      <c r="L118" s="918"/>
      <c r="M118" s="48"/>
    </row>
    <row r="119" spans="1:13" s="46" customFormat="1" ht="66" hidden="1" outlineLevel="2">
      <c r="A119" s="4"/>
      <c r="B119" s="1542"/>
      <c r="C119" s="20"/>
      <c r="D119" s="741"/>
      <c r="E119" s="25" t="s">
        <v>305</v>
      </c>
      <c r="F119" s="584"/>
      <c r="G119" s="736" t="s">
        <v>306</v>
      </c>
      <c r="H119" s="10">
        <v>765</v>
      </c>
      <c r="I119" s="26" t="s">
        <v>625</v>
      </c>
      <c r="J119" s="727">
        <f>'Informations complémentaire'!G79</f>
        <v>0</v>
      </c>
      <c r="K119" s="553"/>
      <c r="L119" s="918"/>
      <c r="M119" s="48"/>
    </row>
    <row r="120" spans="1:13" s="46" customFormat="1" ht="66" hidden="1" outlineLevel="2">
      <c r="A120" s="4"/>
      <c r="B120" s="1542"/>
      <c r="C120" s="20"/>
      <c r="D120" s="741"/>
      <c r="E120" s="25" t="s">
        <v>307</v>
      </c>
      <c r="F120" s="584"/>
      <c r="G120" s="736" t="s">
        <v>308</v>
      </c>
      <c r="H120" s="10">
        <v>665</v>
      </c>
      <c r="I120" s="26" t="s">
        <v>626</v>
      </c>
      <c r="J120" s="727">
        <f>'Informations complémentaire'!G78</f>
        <v>0</v>
      </c>
      <c r="K120" s="553"/>
      <c r="L120" s="918"/>
      <c r="M120" s="48"/>
    </row>
    <row r="121" spans="1:13" s="46" customFormat="1" ht="12.75" hidden="1" customHeight="1" outlineLevel="1" collapsed="1">
      <c r="A121" s="4"/>
      <c r="B121" s="1542"/>
      <c r="C121" s="20"/>
      <c r="D121" s="741" t="s">
        <v>309</v>
      </c>
      <c r="E121" s="5"/>
      <c r="F121" s="584"/>
      <c r="G121" s="736"/>
      <c r="H121" s="10"/>
      <c r="I121" s="14"/>
      <c r="J121" s="728">
        <f>J107+J113-J118+J119-J120</f>
        <v>0</v>
      </c>
      <c r="K121" s="553"/>
      <c r="L121" s="918"/>
      <c r="M121" s="48"/>
    </row>
    <row r="122" spans="1:13" s="46" customFormat="1" ht="12.75" hidden="1" customHeight="1" outlineLevel="1">
      <c r="A122" s="4"/>
      <c r="B122" s="1542"/>
      <c r="C122" s="20"/>
      <c r="D122" s="741" t="s">
        <v>310</v>
      </c>
      <c r="E122" s="5"/>
      <c r="F122" s="584"/>
      <c r="G122" s="736" t="s">
        <v>311</v>
      </c>
      <c r="H122" s="10">
        <v>63</v>
      </c>
      <c r="I122" s="14"/>
      <c r="J122" s="727">
        <f>'2052 et 2053 CR par nature'!K21</f>
        <v>685000</v>
      </c>
      <c r="K122" s="553"/>
      <c r="L122" s="918"/>
      <c r="M122" s="48"/>
    </row>
    <row r="123" spans="1:13" s="46" customFormat="1" ht="12.75" hidden="1" customHeight="1" outlineLevel="3">
      <c r="A123" s="4"/>
      <c r="B123" s="1542"/>
      <c r="C123" s="20"/>
      <c r="D123" s="741"/>
      <c r="E123" s="5"/>
      <c r="F123" s="584" t="s">
        <v>312</v>
      </c>
      <c r="G123" s="736"/>
      <c r="H123" s="10">
        <v>641</v>
      </c>
      <c r="I123" s="17"/>
      <c r="J123" s="728"/>
      <c r="K123" s="553"/>
      <c r="L123" s="918"/>
      <c r="M123" s="48"/>
    </row>
    <row r="124" spans="1:13" s="46" customFormat="1" ht="12.75" hidden="1" customHeight="1" outlineLevel="3">
      <c r="A124" s="4"/>
      <c r="B124" s="1542"/>
      <c r="C124" s="20"/>
      <c r="D124" s="741"/>
      <c r="E124" s="5"/>
      <c r="F124" s="584" t="s">
        <v>313</v>
      </c>
      <c r="G124" s="736"/>
      <c r="H124" s="10">
        <v>644</v>
      </c>
      <c r="I124" s="17"/>
      <c r="J124" s="728"/>
      <c r="K124" s="553"/>
      <c r="L124" s="918"/>
      <c r="M124" s="48"/>
    </row>
    <row r="125" spans="1:13" s="46" customFormat="1" ht="12.75" hidden="1" customHeight="1" outlineLevel="3">
      <c r="A125" s="4"/>
      <c r="B125" s="1542"/>
      <c r="C125" s="20"/>
      <c r="D125" s="741"/>
      <c r="E125" s="5"/>
      <c r="F125" s="584" t="s">
        <v>314</v>
      </c>
      <c r="G125" s="736"/>
      <c r="H125" s="10">
        <v>648</v>
      </c>
      <c r="I125" s="17"/>
      <c r="J125" s="728"/>
      <c r="K125" s="553"/>
      <c r="L125" s="918"/>
      <c r="M125" s="48"/>
    </row>
    <row r="126" spans="1:13" s="46" customFormat="1" ht="25.5" hidden="1" customHeight="1" outlineLevel="2" collapsed="1">
      <c r="A126" s="4"/>
      <c r="B126" s="1542"/>
      <c r="C126" s="20"/>
      <c r="D126" s="741"/>
      <c r="E126" s="5" t="s">
        <v>315</v>
      </c>
      <c r="F126" s="584"/>
      <c r="G126" s="736" t="s">
        <v>316</v>
      </c>
      <c r="H126" s="11" t="s">
        <v>317</v>
      </c>
      <c r="I126" s="17" t="s">
        <v>318</v>
      </c>
      <c r="J126" s="727">
        <f>'2052 et 2053 CR par nature'!K22</f>
        <v>2846000</v>
      </c>
      <c r="K126" s="553"/>
      <c r="L126" s="918"/>
      <c r="M126" s="48"/>
    </row>
    <row r="127" spans="1:13" s="46" customFormat="1" ht="12.75" hidden="1" customHeight="1" outlineLevel="3">
      <c r="A127" s="4"/>
      <c r="B127" s="1542"/>
      <c r="C127" s="20"/>
      <c r="D127" s="741"/>
      <c r="E127" s="5"/>
      <c r="F127" s="584" t="s">
        <v>319</v>
      </c>
      <c r="G127" s="736"/>
      <c r="H127" s="10">
        <v>645</v>
      </c>
      <c r="I127" s="14"/>
      <c r="J127" s="728"/>
      <c r="K127" s="553"/>
      <c r="L127" s="918"/>
      <c r="M127" s="48"/>
    </row>
    <row r="128" spans="1:13" s="46" customFormat="1" ht="12.75" hidden="1" customHeight="1" outlineLevel="3">
      <c r="A128" s="4"/>
      <c r="B128" s="1542"/>
      <c r="C128" s="20"/>
      <c r="D128" s="741"/>
      <c r="E128" s="5"/>
      <c r="F128" s="584" t="s">
        <v>320</v>
      </c>
      <c r="G128" s="736"/>
      <c r="H128" s="10">
        <v>646</v>
      </c>
      <c r="I128" s="14"/>
      <c r="J128" s="728"/>
      <c r="K128" s="553"/>
      <c r="L128" s="918"/>
      <c r="M128" s="48"/>
    </row>
    <row r="129" spans="1:14" s="46" customFormat="1" ht="12.75" hidden="1" customHeight="1" outlineLevel="3">
      <c r="A129" s="4"/>
      <c r="B129" s="1542"/>
      <c r="C129" s="20"/>
      <c r="D129" s="741"/>
      <c r="E129" s="5"/>
      <c r="F129" s="584" t="s">
        <v>321</v>
      </c>
      <c r="G129" s="736"/>
      <c r="H129" s="10">
        <v>647</v>
      </c>
      <c r="I129" s="14"/>
      <c r="J129" s="728"/>
      <c r="K129" s="553"/>
      <c r="L129" s="918"/>
      <c r="M129" s="48"/>
    </row>
    <row r="130" spans="1:14" s="46" customFormat="1" ht="12.75" hidden="1" customHeight="1" outlineLevel="3">
      <c r="A130" s="4"/>
      <c r="B130" s="1542"/>
      <c r="C130" s="20"/>
      <c r="D130" s="741"/>
      <c r="E130" s="5"/>
      <c r="F130" s="584" t="s">
        <v>322</v>
      </c>
      <c r="G130" s="736"/>
      <c r="H130" s="10">
        <v>648</v>
      </c>
      <c r="I130" s="14"/>
      <c r="J130" s="728"/>
      <c r="K130" s="553"/>
      <c r="L130" s="918"/>
      <c r="M130" s="48"/>
    </row>
    <row r="131" spans="1:14" s="46" customFormat="1" ht="25.5" hidden="1" customHeight="1" outlineLevel="2" collapsed="1">
      <c r="A131" s="4"/>
      <c r="B131" s="1542"/>
      <c r="C131" s="20"/>
      <c r="D131" s="741"/>
      <c r="E131" s="5" t="s">
        <v>323</v>
      </c>
      <c r="F131" s="584"/>
      <c r="G131" s="736" t="s">
        <v>324</v>
      </c>
      <c r="H131" s="11" t="s">
        <v>325</v>
      </c>
      <c r="I131" s="14" t="s">
        <v>326</v>
      </c>
      <c r="J131" s="727">
        <f>'2052 et 2053 CR par nature'!K23</f>
        <v>1280700</v>
      </c>
      <c r="K131" s="553"/>
      <c r="L131" s="918"/>
      <c r="M131" s="48"/>
    </row>
    <row r="132" spans="1:14" s="46" customFormat="1" ht="39.6" hidden="1" outlineLevel="2">
      <c r="A132" s="4"/>
      <c r="B132" s="1542"/>
      <c r="C132" s="20"/>
      <c r="D132" s="741"/>
      <c r="E132" s="84" t="s">
        <v>327</v>
      </c>
      <c r="F132" s="584"/>
      <c r="G132" s="736" t="s">
        <v>328</v>
      </c>
      <c r="H132" s="10">
        <v>621</v>
      </c>
      <c r="I132" s="26" t="s">
        <v>627</v>
      </c>
      <c r="J132" s="727">
        <f>'Informations complémentaire'!G73</f>
        <v>120000</v>
      </c>
      <c r="K132" s="553"/>
      <c r="L132" s="918"/>
      <c r="M132" s="48"/>
    </row>
    <row r="133" spans="1:14" s="46" customFormat="1" ht="12.75" hidden="1" customHeight="1" outlineLevel="1" collapsed="1">
      <c r="A133" s="4"/>
      <c r="B133" s="1542"/>
      <c r="C133" s="20"/>
      <c r="D133" s="741" t="s">
        <v>329</v>
      </c>
      <c r="E133" s="5"/>
      <c r="F133" s="584"/>
      <c r="G133" s="736"/>
      <c r="H133" s="10"/>
      <c r="I133" s="14" t="s">
        <v>330</v>
      </c>
      <c r="J133" s="728">
        <f>J126+J131+J132</f>
        <v>4246700</v>
      </c>
      <c r="K133" s="553"/>
      <c r="L133" s="918"/>
      <c r="M133" s="48"/>
    </row>
    <row r="134" spans="1:14" s="46" customFormat="1" ht="35.1" customHeight="1" collapsed="1">
      <c r="A134" s="4"/>
      <c r="B134" s="1542"/>
      <c r="C134" s="20" t="s">
        <v>331</v>
      </c>
      <c r="D134" s="1524" t="s">
        <v>332</v>
      </c>
      <c r="E134" s="1525"/>
      <c r="F134" s="1526"/>
      <c r="G134" s="736"/>
      <c r="H134" s="10"/>
      <c r="I134" s="26" t="s">
        <v>1845</v>
      </c>
      <c r="J134" s="730">
        <f>J106+J121-J122-J133</f>
        <v>4224300</v>
      </c>
      <c r="K134" s="553"/>
      <c r="L134" s="918"/>
      <c r="M134" s="48"/>
    </row>
    <row r="135" spans="1:14" s="46" customFormat="1" ht="12.75" hidden="1" customHeight="1" outlineLevel="1">
      <c r="A135" s="4"/>
      <c r="B135" s="1542"/>
      <c r="C135" s="20"/>
      <c r="D135" s="741" t="s">
        <v>337</v>
      </c>
      <c r="E135" s="5"/>
      <c r="F135" s="584"/>
      <c r="G135" s="736" t="s">
        <v>338</v>
      </c>
      <c r="H135" s="10">
        <v>791</v>
      </c>
      <c r="I135" s="14" t="s">
        <v>339</v>
      </c>
      <c r="J135" s="727">
        <f>'Informations complémentaire'!G64</f>
        <v>0</v>
      </c>
      <c r="K135" s="553"/>
      <c r="L135" s="918"/>
      <c r="M135" s="48"/>
    </row>
    <row r="136" spans="1:14" s="46" customFormat="1" ht="12.75" hidden="1" customHeight="1" outlineLevel="2">
      <c r="A136" s="4"/>
      <c r="B136" s="1542"/>
      <c r="C136" s="20"/>
      <c r="D136" s="741"/>
      <c r="E136" s="5" t="s">
        <v>340</v>
      </c>
      <c r="F136" s="584"/>
      <c r="G136" s="736" t="s">
        <v>341</v>
      </c>
      <c r="H136" s="10">
        <v>681</v>
      </c>
      <c r="I136" s="14"/>
      <c r="J136" s="727">
        <f>'2052 et 2053 CR par nature'!K24+'2052 et 2053 CR par nature'!K25+'2052 et 2053 CR par nature'!K26+'2052 et 2053 CR par nature'!K27</f>
        <v>1444000</v>
      </c>
      <c r="K136" s="553"/>
      <c r="L136" s="918"/>
      <c r="M136" s="48"/>
    </row>
    <row r="137" spans="1:14" s="46" customFormat="1" ht="12.75" hidden="1" customHeight="1" outlineLevel="2">
      <c r="A137" s="4"/>
      <c r="B137" s="1542"/>
      <c r="C137" s="20"/>
      <c r="D137" s="741"/>
      <c r="E137" s="5" t="s">
        <v>342</v>
      </c>
      <c r="F137" s="584"/>
      <c r="G137" s="736" t="s">
        <v>343</v>
      </c>
      <c r="H137" s="10">
        <v>781</v>
      </c>
      <c r="I137" s="27" t="s">
        <v>634</v>
      </c>
      <c r="J137" s="727">
        <f>'2052 et 2053 CR par nature'!K13-'Informations complémentaire'!G64</f>
        <v>0</v>
      </c>
      <c r="K137" s="553"/>
      <c r="L137" s="918"/>
      <c r="M137" s="48"/>
    </row>
    <row r="138" spans="1:14" s="46" customFormat="1" ht="12.75" hidden="1" customHeight="1" outlineLevel="2">
      <c r="A138" s="4"/>
      <c r="B138" s="1542"/>
      <c r="C138" s="20"/>
      <c r="D138" s="741"/>
      <c r="E138" s="85" t="s">
        <v>344</v>
      </c>
      <c r="F138" s="584"/>
      <c r="G138" s="736" t="s">
        <v>345</v>
      </c>
      <c r="H138" s="10" t="s">
        <v>346</v>
      </c>
      <c r="I138" s="14"/>
      <c r="J138" s="727">
        <f>'Informations complémentaire'!G26</f>
        <v>187500</v>
      </c>
      <c r="K138" s="553"/>
      <c r="L138" s="918"/>
      <c r="M138" s="48"/>
    </row>
    <row r="139" spans="1:14" s="46" customFormat="1" ht="25.5" hidden="1" customHeight="1" outlineLevel="1" collapsed="1">
      <c r="A139" s="4"/>
      <c r="B139" s="1542"/>
      <c r="C139" s="20"/>
      <c r="D139" s="741" t="s">
        <v>347</v>
      </c>
      <c r="E139" s="5"/>
      <c r="F139" s="584"/>
      <c r="G139" s="736"/>
      <c r="H139" s="11" t="s">
        <v>348</v>
      </c>
      <c r="I139" s="14"/>
      <c r="J139" s="728">
        <f>J136-J137+J138</f>
        <v>1631500</v>
      </c>
      <c r="K139" s="553"/>
      <c r="L139" s="918"/>
      <c r="M139" s="48"/>
    </row>
    <row r="140" spans="1:14" s="46" customFormat="1" ht="35.1" customHeight="1" collapsed="1" thickBot="1">
      <c r="A140" s="4"/>
      <c r="B140" s="1543"/>
      <c r="C140" s="735" t="s">
        <v>349</v>
      </c>
      <c r="D140" s="1572" t="s">
        <v>350</v>
      </c>
      <c r="E140" s="1573"/>
      <c r="F140" s="1574"/>
      <c r="G140" s="740"/>
      <c r="H140" s="586"/>
      <c r="I140" s="587"/>
      <c r="J140" s="732">
        <f>J134+J135-J139</f>
        <v>2592800</v>
      </c>
      <c r="K140" s="557"/>
      <c r="L140" s="734"/>
      <c r="M140" s="49"/>
    </row>
    <row r="141" spans="1:14" s="551" customFormat="1" ht="10.5" customHeight="1" thickBot="1">
      <c r="A141" s="4"/>
      <c r="B141" s="23"/>
      <c r="C141" s="930"/>
      <c r="D141" s="23"/>
      <c r="E141" s="23"/>
      <c r="F141" s="23"/>
      <c r="G141" s="23"/>
      <c r="H141" s="930"/>
      <c r="I141" s="23"/>
      <c r="J141" s="926"/>
      <c r="K141" s="23"/>
      <c r="L141" s="931"/>
      <c r="M141" s="108"/>
      <c r="N141" s="925"/>
    </row>
    <row r="142" spans="1:14" s="46" customFormat="1" ht="14.25" hidden="1" customHeight="1" outlineLevel="2">
      <c r="A142" s="4"/>
      <c r="B142" s="1547" t="s">
        <v>1961</v>
      </c>
      <c r="C142" s="41"/>
      <c r="D142" s="42" t="s">
        <v>629</v>
      </c>
      <c r="E142" s="43"/>
      <c r="F142" s="43"/>
      <c r="G142" s="43"/>
      <c r="H142" s="41"/>
      <c r="I142" s="1564" t="s">
        <v>1315</v>
      </c>
      <c r="J142" s="71">
        <f>'2052 et 2053 CR par nature'!K30</f>
        <v>2530300</v>
      </c>
      <c r="K142" s="43"/>
      <c r="L142" s="773"/>
      <c r="M142" s="78"/>
    </row>
    <row r="143" spans="1:14" s="46" customFormat="1" ht="14.25" hidden="1" customHeight="1" outlineLevel="2">
      <c r="A143" s="4"/>
      <c r="B143" s="1548"/>
      <c r="C143" s="32"/>
      <c r="D143" s="39" t="s">
        <v>630</v>
      </c>
      <c r="E143" s="918"/>
      <c r="F143" s="918"/>
      <c r="G143" s="918"/>
      <c r="H143" s="32"/>
      <c r="I143" s="1565"/>
      <c r="J143" s="72">
        <f>'Informations complémentaire'!G79</f>
        <v>0</v>
      </c>
      <c r="K143" s="918"/>
      <c r="L143" s="445"/>
      <c r="M143" s="79"/>
    </row>
    <row r="144" spans="1:14" s="46" customFormat="1" ht="14.25" hidden="1" customHeight="1" outlineLevel="2">
      <c r="A144" s="4"/>
      <c r="B144" s="1548"/>
      <c r="C144" s="32"/>
      <c r="D144" s="39" t="s">
        <v>511</v>
      </c>
      <c r="E144" s="918"/>
      <c r="F144" s="918"/>
      <c r="G144" s="918"/>
      <c r="H144" s="32"/>
      <c r="I144" s="1565"/>
      <c r="J144" s="72">
        <f>'Informations complémentaire'!G78</f>
        <v>0</v>
      </c>
      <c r="K144" s="918"/>
      <c r="L144" s="445"/>
      <c r="M144" s="79"/>
    </row>
    <row r="145" spans="1:13" s="46" customFormat="1" ht="14.25" hidden="1" customHeight="1" outlineLevel="2">
      <c r="A145" s="4"/>
      <c r="B145" s="1548"/>
      <c r="C145" s="32"/>
      <c r="D145" s="40" t="s">
        <v>632</v>
      </c>
      <c r="E145" s="918"/>
      <c r="F145" s="918"/>
      <c r="G145" s="918"/>
      <c r="H145" s="32"/>
      <c r="I145" s="1565"/>
      <c r="J145" s="72">
        <f>'2052 et 2053 CR par nature'!K64</f>
        <v>0</v>
      </c>
      <c r="K145" s="918"/>
      <c r="L145" s="445"/>
      <c r="M145" s="79"/>
    </row>
    <row r="146" spans="1:13" s="46" customFormat="1" ht="14.25" hidden="1" customHeight="1" outlineLevel="2">
      <c r="A146" s="4"/>
      <c r="B146" s="1548"/>
      <c r="C146" s="32"/>
      <c r="D146" s="39" t="s">
        <v>545</v>
      </c>
      <c r="E146" s="918"/>
      <c r="F146" s="918"/>
      <c r="G146" s="918"/>
      <c r="H146" s="32"/>
      <c r="I146" s="1565"/>
      <c r="J146" s="72">
        <f>'2052 et 2053 CR par nature'!K24+'2052 et 2053 CR par nature'!K25+'2052 et 2053 CR par nature'!K26+'2052 et 2053 CR par nature'!K27</f>
        <v>1444000</v>
      </c>
      <c r="K146" s="918"/>
      <c r="L146" s="445"/>
      <c r="M146" s="79"/>
    </row>
    <row r="147" spans="1:13" s="46" customFormat="1" ht="14.25" hidden="1" customHeight="1" outlineLevel="2">
      <c r="A147" s="4"/>
      <c r="B147" s="1548"/>
      <c r="C147" s="32"/>
      <c r="D147" s="39" t="s">
        <v>631</v>
      </c>
      <c r="E147" s="918"/>
      <c r="F147" s="918"/>
      <c r="G147" s="918"/>
      <c r="H147" s="32"/>
      <c r="I147" s="1565"/>
      <c r="J147" s="72">
        <f>'2052 et 2053 CR par nature'!K13</f>
        <v>0</v>
      </c>
      <c r="K147" s="918"/>
      <c r="L147" s="445"/>
      <c r="M147" s="79"/>
    </row>
    <row r="148" spans="1:13" s="46" customFormat="1" ht="52.8" hidden="1" outlineLevel="1" collapsed="1">
      <c r="A148" s="4"/>
      <c r="B148" s="1548"/>
      <c r="C148" s="29"/>
      <c r="D148" s="30" t="s">
        <v>351</v>
      </c>
      <c r="E148" s="918"/>
      <c r="F148" s="918"/>
      <c r="G148" s="918"/>
      <c r="H148" s="32"/>
      <c r="I148" s="33" t="s">
        <v>628</v>
      </c>
      <c r="J148" s="72">
        <f>J134</f>
        <v>4224300</v>
      </c>
      <c r="K148" s="772"/>
      <c r="L148" s="771"/>
      <c r="M148" s="79"/>
    </row>
    <row r="149" spans="1:13" s="46" customFormat="1" ht="12.75" hidden="1" customHeight="1" outlineLevel="2">
      <c r="A149" s="4"/>
      <c r="B149" s="1548"/>
      <c r="C149" s="32"/>
      <c r="D149" s="918"/>
      <c r="E149" s="918" t="s">
        <v>352</v>
      </c>
      <c r="F149" s="918"/>
      <c r="G149" s="918" t="s">
        <v>353</v>
      </c>
      <c r="H149" s="32">
        <v>755</v>
      </c>
      <c r="I149" s="918"/>
      <c r="J149" s="67">
        <f>'2052 et 2053 CR par nature'!K31</f>
        <v>0</v>
      </c>
      <c r="K149" s="918"/>
      <c r="L149" s="445"/>
      <c r="M149" s="79"/>
    </row>
    <row r="150" spans="1:13" s="46" customFormat="1" ht="12.75" hidden="1" customHeight="1" outlineLevel="2">
      <c r="A150" s="4"/>
      <c r="B150" s="1548"/>
      <c r="C150" s="32"/>
      <c r="D150" s="918"/>
      <c r="E150" s="918" t="s">
        <v>354</v>
      </c>
      <c r="F150" s="918"/>
      <c r="G150" s="918" t="s">
        <v>355</v>
      </c>
      <c r="H150" s="32">
        <v>655</v>
      </c>
      <c r="I150" s="918"/>
      <c r="J150" s="67">
        <f>'2052 et 2053 CR par nature'!K32</f>
        <v>0</v>
      </c>
      <c r="K150" s="918"/>
      <c r="L150" s="445"/>
      <c r="M150" s="79"/>
    </row>
    <row r="151" spans="1:13" s="46" customFormat="1" ht="12.75" hidden="1" customHeight="1" outlineLevel="1" collapsed="1">
      <c r="A151" s="4"/>
      <c r="B151" s="1548"/>
      <c r="C151" s="32"/>
      <c r="D151" s="918" t="s">
        <v>356</v>
      </c>
      <c r="E151" s="918"/>
      <c r="F151" s="918"/>
      <c r="G151" s="918"/>
      <c r="H151" s="32"/>
      <c r="I151" s="918"/>
      <c r="J151" s="72">
        <f>J149-J150</f>
        <v>0</v>
      </c>
      <c r="K151" s="918"/>
      <c r="L151" s="445"/>
      <c r="M151" s="79"/>
    </row>
    <row r="152" spans="1:13" s="46" customFormat="1" ht="25.5" hidden="1" customHeight="1" outlineLevel="2">
      <c r="A152" s="4"/>
      <c r="B152" s="1548"/>
      <c r="C152" s="32"/>
      <c r="D152" s="918"/>
      <c r="E152" s="918" t="s">
        <v>357</v>
      </c>
      <c r="F152" s="918"/>
      <c r="G152" s="918" t="s">
        <v>358</v>
      </c>
      <c r="H152" s="921" t="s">
        <v>359</v>
      </c>
      <c r="I152" s="918"/>
      <c r="J152" s="67">
        <f>'2052 et 2053 CR par nature'!K45</f>
        <v>-315000</v>
      </c>
      <c r="K152" s="918"/>
      <c r="L152" s="445"/>
      <c r="M152" s="79"/>
    </row>
    <row r="153" spans="1:13" s="46" customFormat="1" ht="12.75" hidden="1" customHeight="1" outlineLevel="2">
      <c r="A153" s="4"/>
      <c r="B153" s="1548"/>
      <c r="C153" s="32"/>
      <c r="D153" s="918"/>
      <c r="E153" s="918" t="s">
        <v>360</v>
      </c>
      <c r="F153" s="918"/>
      <c r="G153" s="918" t="s">
        <v>361</v>
      </c>
      <c r="H153" s="32">
        <v>686</v>
      </c>
      <c r="I153" s="38" t="s">
        <v>635</v>
      </c>
      <c r="J153" s="67">
        <f>'2052 et 2053 CR par nature'!K40</f>
        <v>0</v>
      </c>
      <c r="K153" s="918"/>
      <c r="L153" s="445"/>
      <c r="M153" s="79"/>
    </row>
    <row r="154" spans="1:13" s="46" customFormat="1" ht="12.75" hidden="1" customHeight="1" outlineLevel="2">
      <c r="A154" s="4"/>
      <c r="B154" s="1548"/>
      <c r="C154" s="32"/>
      <c r="D154" s="918"/>
      <c r="E154" s="918" t="s">
        <v>362</v>
      </c>
      <c r="F154" s="918"/>
      <c r="G154" s="918" t="s">
        <v>363</v>
      </c>
      <c r="H154" s="32" t="s">
        <v>364</v>
      </c>
      <c r="I154" s="38" t="s">
        <v>635</v>
      </c>
      <c r="J154" s="67">
        <f>'2052 et 2053 CR par nature'!K36</f>
        <v>0</v>
      </c>
      <c r="K154" s="918"/>
      <c r="L154" s="445"/>
      <c r="M154" s="79"/>
    </row>
    <row r="155" spans="1:13" s="46" customFormat="1" ht="12.75" hidden="1" customHeight="1" outlineLevel="3">
      <c r="A155" s="4"/>
      <c r="B155" s="1548"/>
      <c r="C155" s="32"/>
      <c r="D155" s="918"/>
      <c r="E155" s="918"/>
      <c r="F155" s="35" t="s">
        <v>365</v>
      </c>
      <c r="G155" s="918"/>
      <c r="H155" s="36">
        <v>661</v>
      </c>
      <c r="I155" s="918"/>
      <c r="J155" s="72"/>
      <c r="K155" s="918"/>
      <c r="L155" s="445"/>
      <c r="M155" s="79"/>
    </row>
    <row r="156" spans="1:13" s="46" customFormat="1" ht="12.75" hidden="1" customHeight="1" outlineLevel="3">
      <c r="A156" s="4"/>
      <c r="B156" s="1548"/>
      <c r="C156" s="32"/>
      <c r="D156" s="918"/>
      <c r="E156" s="918"/>
      <c r="F156" s="918" t="s">
        <v>366</v>
      </c>
      <c r="G156" s="918"/>
      <c r="H156" s="32">
        <v>664</v>
      </c>
      <c r="I156" s="918"/>
      <c r="J156" s="72"/>
      <c r="K156" s="918"/>
      <c r="L156" s="445"/>
      <c r="M156" s="79"/>
    </row>
    <row r="157" spans="1:13" s="46" customFormat="1" ht="12.75" hidden="1" customHeight="1" outlineLevel="3">
      <c r="A157" s="4"/>
      <c r="B157" s="1548"/>
      <c r="C157" s="32"/>
      <c r="D157" s="918"/>
      <c r="E157" s="918"/>
      <c r="F157" s="35" t="s">
        <v>367</v>
      </c>
      <c r="G157" s="918"/>
      <c r="H157" s="36">
        <v>665</v>
      </c>
      <c r="I157" s="918"/>
      <c r="J157" s="72"/>
      <c r="K157" s="918"/>
      <c r="L157" s="445"/>
      <c r="M157" s="79"/>
    </row>
    <row r="158" spans="1:13" s="46" customFormat="1" ht="12.75" hidden="1" customHeight="1" outlineLevel="3">
      <c r="A158" s="4"/>
      <c r="B158" s="1548"/>
      <c r="C158" s="32"/>
      <c r="D158" s="918"/>
      <c r="E158" s="918"/>
      <c r="F158" s="918" t="s">
        <v>368</v>
      </c>
      <c r="G158" s="918"/>
      <c r="H158" s="32">
        <v>668</v>
      </c>
      <c r="I158" s="918"/>
      <c r="J158" s="72"/>
      <c r="K158" s="918"/>
      <c r="L158" s="445"/>
      <c r="M158" s="79"/>
    </row>
    <row r="159" spans="1:13" s="46" customFormat="1" ht="25.5" hidden="1" customHeight="1" outlineLevel="2" collapsed="1">
      <c r="A159" s="4"/>
      <c r="B159" s="1548"/>
      <c r="C159" s="32"/>
      <c r="D159" s="918"/>
      <c r="E159" s="918" t="s">
        <v>369</v>
      </c>
      <c r="F159" s="918"/>
      <c r="G159" s="918" t="s">
        <v>370</v>
      </c>
      <c r="H159" s="921" t="s">
        <v>371</v>
      </c>
      <c r="I159" s="38" t="s">
        <v>635</v>
      </c>
      <c r="J159" s="67">
        <f>'2052 et 2053 CR par nature'!K41</f>
        <v>315000</v>
      </c>
      <c r="K159" s="918"/>
      <c r="L159" s="445"/>
      <c r="M159" s="79"/>
    </row>
    <row r="160" spans="1:13" s="46" customFormat="1" ht="12.75" hidden="1" customHeight="1" outlineLevel="2">
      <c r="A160" s="4"/>
      <c r="B160" s="1548"/>
      <c r="C160" s="32"/>
      <c r="D160" s="918"/>
      <c r="E160" s="918" t="s">
        <v>372</v>
      </c>
      <c r="F160" s="918"/>
      <c r="G160" s="918" t="s">
        <v>373</v>
      </c>
      <c r="H160" s="32">
        <v>765</v>
      </c>
      <c r="I160" s="918"/>
      <c r="J160" s="67">
        <f>'Informations complémentaire'!G79</f>
        <v>0</v>
      </c>
      <c r="K160" s="918"/>
      <c r="L160" s="445"/>
      <c r="M160" s="79"/>
    </row>
    <row r="161" spans="1:13" s="46" customFormat="1" ht="12.75" hidden="1" customHeight="1" outlineLevel="1" collapsed="1">
      <c r="A161" s="4"/>
      <c r="B161" s="1548"/>
      <c r="C161" s="32"/>
      <c r="D161" s="918" t="s">
        <v>374</v>
      </c>
      <c r="E161" s="918"/>
      <c r="F161" s="918"/>
      <c r="G161" s="918"/>
      <c r="H161" s="32"/>
      <c r="I161" s="918"/>
      <c r="J161" s="72">
        <f>J152+J153-J154+J159-J160</f>
        <v>0</v>
      </c>
      <c r="K161" s="918"/>
      <c r="L161" s="445"/>
      <c r="M161" s="79"/>
    </row>
    <row r="162" spans="1:13" s="46" customFormat="1" ht="25.5" hidden="1" customHeight="1" outlineLevel="2">
      <c r="A162" s="4"/>
      <c r="B162" s="1548"/>
      <c r="C162" s="32"/>
      <c r="D162" s="918"/>
      <c r="E162" s="918" t="s">
        <v>375</v>
      </c>
      <c r="F162" s="918"/>
      <c r="G162" s="918" t="s">
        <v>376</v>
      </c>
      <c r="H162" s="921" t="s">
        <v>377</v>
      </c>
      <c r="I162" s="918"/>
      <c r="J162" s="67">
        <f>'2052 et 2053 CR par nature'!K55</f>
        <v>65000</v>
      </c>
      <c r="K162" s="918"/>
      <c r="L162" s="445"/>
      <c r="M162" s="79"/>
    </row>
    <row r="163" spans="1:13" s="46" customFormat="1" ht="12.75" hidden="1" customHeight="1" outlineLevel="2">
      <c r="A163" s="4"/>
      <c r="B163" s="1548"/>
      <c r="C163" s="32"/>
      <c r="D163" s="918"/>
      <c r="E163" s="918" t="s">
        <v>378</v>
      </c>
      <c r="F163" s="918"/>
      <c r="G163" s="918" t="s">
        <v>379</v>
      </c>
      <c r="H163" s="32">
        <v>687</v>
      </c>
      <c r="I163" s="38" t="s">
        <v>636</v>
      </c>
      <c r="J163" s="67">
        <f>'2052 et 2053 CR par nature'!K53</f>
        <v>0</v>
      </c>
      <c r="K163" s="918"/>
      <c r="L163" s="445"/>
      <c r="M163" s="79"/>
    </row>
    <row r="164" spans="1:13" s="46" customFormat="1" ht="12.75" hidden="1" customHeight="1" outlineLevel="2">
      <c r="A164" s="4"/>
      <c r="B164" s="1548"/>
      <c r="C164" s="32"/>
      <c r="D164" s="918"/>
      <c r="E164" s="918" t="s">
        <v>380</v>
      </c>
      <c r="F164" s="918"/>
      <c r="G164" s="918" t="s">
        <v>381</v>
      </c>
      <c r="H164" s="32" t="s">
        <v>382</v>
      </c>
      <c r="I164" s="38" t="s">
        <v>636</v>
      </c>
      <c r="J164" s="67">
        <f>'2052 et 2053 CR par nature'!K49</f>
        <v>0</v>
      </c>
      <c r="K164" s="918"/>
      <c r="L164" s="445"/>
      <c r="M164" s="79"/>
    </row>
    <row r="165" spans="1:13" s="46" customFormat="1" ht="12.75" hidden="1" customHeight="1" outlineLevel="2">
      <c r="A165" s="4"/>
      <c r="B165" s="1548"/>
      <c r="C165" s="32"/>
      <c r="D165" s="918"/>
      <c r="E165" s="918" t="s">
        <v>383</v>
      </c>
      <c r="F165" s="918"/>
      <c r="G165" s="918" t="s">
        <v>384</v>
      </c>
      <c r="H165" s="32">
        <v>675</v>
      </c>
      <c r="I165" s="38" t="s">
        <v>636</v>
      </c>
      <c r="J165" s="493">
        <f>'2052 et 2053 CR par nature'!K77</f>
        <v>0</v>
      </c>
      <c r="K165" s="918"/>
      <c r="L165" s="445"/>
      <c r="M165" s="79"/>
    </row>
    <row r="166" spans="1:13" s="46" customFormat="1" ht="12.75" hidden="1" customHeight="1" outlineLevel="2">
      <c r="A166" s="4"/>
      <c r="B166" s="1548"/>
      <c r="C166" s="32"/>
      <c r="D166" s="918"/>
      <c r="E166" s="918" t="s">
        <v>385</v>
      </c>
      <c r="F166" s="918"/>
      <c r="G166" s="918" t="s">
        <v>386</v>
      </c>
      <c r="H166" s="32">
        <v>775</v>
      </c>
      <c r="I166" s="38" t="s">
        <v>636</v>
      </c>
      <c r="J166" s="67">
        <f>'2052 et 2053 CR par nature'!L76</f>
        <v>0</v>
      </c>
      <c r="K166" s="918"/>
      <c r="L166" s="445"/>
      <c r="M166" s="79"/>
    </row>
    <row r="167" spans="1:13" s="46" customFormat="1" ht="12.75" hidden="1" customHeight="1" outlineLevel="2">
      <c r="A167" s="4"/>
      <c r="B167" s="1548"/>
      <c r="C167" s="32"/>
      <c r="D167" s="918"/>
      <c r="E167" s="918" t="s">
        <v>387</v>
      </c>
      <c r="F167" s="918"/>
      <c r="G167" s="918" t="s">
        <v>388</v>
      </c>
      <c r="H167" s="32">
        <v>777</v>
      </c>
      <c r="I167" s="38" t="s">
        <v>636</v>
      </c>
      <c r="J167" s="67">
        <f>'2052 et 2053 CR par nature'!L78</f>
        <v>0</v>
      </c>
      <c r="K167" s="918"/>
      <c r="L167" s="445"/>
      <c r="M167" s="79"/>
    </row>
    <row r="168" spans="1:13" s="46" customFormat="1" ht="12.75" hidden="1" customHeight="1" outlineLevel="1" collapsed="1">
      <c r="A168" s="4"/>
      <c r="B168" s="1548"/>
      <c r="C168" s="32"/>
      <c r="D168" s="918" t="s">
        <v>389</v>
      </c>
      <c r="E168" s="918"/>
      <c r="F168" s="918"/>
      <c r="G168" s="918"/>
      <c r="H168" s="32"/>
      <c r="I168" s="918"/>
      <c r="J168" s="72">
        <f>J162+J163-J164+J165-J166-J167</f>
        <v>65000</v>
      </c>
      <c r="K168" s="918"/>
      <c r="L168" s="445"/>
      <c r="M168" s="79"/>
    </row>
    <row r="169" spans="1:13" s="46" customFormat="1" ht="12.75" hidden="1" customHeight="1" outlineLevel="1" thickBot="1">
      <c r="A169" s="4"/>
      <c r="B169" s="1548"/>
      <c r="C169" s="32"/>
      <c r="D169" s="39" t="s">
        <v>637</v>
      </c>
      <c r="E169" s="918"/>
      <c r="F169" s="918"/>
      <c r="G169" s="918"/>
      <c r="H169" s="32" t="s">
        <v>390</v>
      </c>
      <c r="I169" s="918"/>
      <c r="J169" s="792">
        <f>'Informations complémentaire'!G64-'Informations complémentaire'!G65</f>
        <v>0</v>
      </c>
      <c r="K169" s="918"/>
      <c r="L169" s="445"/>
      <c r="M169" s="79"/>
    </row>
    <row r="170" spans="1:13" s="46" customFormat="1" ht="35.1" customHeight="1" collapsed="1">
      <c r="A170" s="4"/>
      <c r="B170" s="1548"/>
      <c r="C170" s="32" t="s">
        <v>391</v>
      </c>
      <c r="D170" s="1516" t="s">
        <v>392</v>
      </c>
      <c r="E170" s="1516"/>
      <c r="F170" s="1516"/>
      <c r="G170" s="918"/>
      <c r="H170" s="32"/>
      <c r="I170" s="916"/>
      <c r="J170" s="793">
        <f>J148+J151+J161+J168+J169</f>
        <v>4289300</v>
      </c>
      <c r="K170" s="578"/>
      <c r="L170" s="117"/>
      <c r="M170" s="48"/>
    </row>
    <row r="171" spans="1:13" s="46" customFormat="1" ht="12.75" hidden="1" customHeight="1" outlineLevel="2">
      <c r="A171" s="4"/>
      <c r="B171" s="1548"/>
      <c r="C171" s="32"/>
      <c r="D171" s="918"/>
      <c r="E171" s="918" t="s">
        <v>393</v>
      </c>
      <c r="F171" s="918"/>
      <c r="G171" s="918"/>
      <c r="H171" s="32">
        <v>681</v>
      </c>
      <c r="I171" s="916"/>
      <c r="J171" s="794">
        <f>'2052 et 2053 CR par nature'!K24+'2052 et 2053 CR par nature'!K25+'2052 et 2053 CR par nature'!K26+'2052 et 2053 CR par nature'!K27</f>
        <v>1444000</v>
      </c>
      <c r="K171" s="578"/>
      <c r="L171" s="445"/>
      <c r="M171" s="48"/>
    </row>
    <row r="172" spans="1:13" s="46" customFormat="1" ht="12.75" hidden="1" customHeight="1" outlineLevel="2">
      <c r="A172" s="4"/>
      <c r="B172" s="1548"/>
      <c r="C172" s="32"/>
      <c r="D172" s="918"/>
      <c r="E172" s="918" t="s">
        <v>394</v>
      </c>
      <c r="F172" s="918"/>
      <c r="G172" s="918"/>
      <c r="H172" s="32">
        <v>686</v>
      </c>
      <c r="I172" s="916"/>
      <c r="J172" s="794">
        <f>'2052 et 2053 CR par nature'!K40</f>
        <v>0</v>
      </c>
      <c r="K172" s="578"/>
      <c r="L172" s="445"/>
      <c r="M172" s="48"/>
    </row>
    <row r="173" spans="1:13" s="46" customFormat="1" ht="12.75" hidden="1" customHeight="1" outlineLevel="2">
      <c r="A173" s="4"/>
      <c r="B173" s="1548"/>
      <c r="C173" s="32"/>
      <c r="D173" s="918"/>
      <c r="E173" s="918" t="s">
        <v>395</v>
      </c>
      <c r="F173" s="918"/>
      <c r="G173" s="918"/>
      <c r="H173" s="32">
        <v>687</v>
      </c>
      <c r="I173" s="916"/>
      <c r="J173" s="794">
        <f>'2052 et 2053 CR par nature'!K53</f>
        <v>0</v>
      </c>
      <c r="K173" s="578"/>
      <c r="L173" s="445"/>
      <c r="M173" s="48"/>
    </row>
    <row r="174" spans="1:13" s="46" customFormat="1" ht="12.75" hidden="1" customHeight="1" outlineLevel="2">
      <c r="A174" s="4"/>
      <c r="B174" s="1548"/>
      <c r="C174" s="32"/>
      <c r="D174" s="918"/>
      <c r="E174" s="50" t="s">
        <v>396</v>
      </c>
      <c r="F174" s="918"/>
      <c r="G174" s="918" t="s">
        <v>397</v>
      </c>
      <c r="H174" s="32" t="s">
        <v>398</v>
      </c>
      <c r="I174" s="916"/>
      <c r="J174" s="794">
        <f>'Informations complémentaire'!G26</f>
        <v>187500</v>
      </c>
      <c r="K174" s="578"/>
      <c r="L174" s="445"/>
      <c r="M174" s="48"/>
    </row>
    <row r="175" spans="1:13" s="46" customFormat="1" ht="12.75" hidden="1" customHeight="1" outlineLevel="2">
      <c r="A175" s="4"/>
      <c r="B175" s="1548"/>
      <c r="C175" s="32"/>
      <c r="D175" s="918"/>
      <c r="E175" s="918" t="s">
        <v>399</v>
      </c>
      <c r="F175" s="918"/>
      <c r="G175" s="918"/>
      <c r="H175" s="32">
        <v>781</v>
      </c>
      <c r="I175" s="919" t="s">
        <v>639</v>
      </c>
      <c r="J175" s="794">
        <f>'2052 et 2053 CR par nature'!K13-'Informations complémentaire'!G64</f>
        <v>0</v>
      </c>
      <c r="K175" s="578"/>
      <c r="L175" s="445"/>
      <c r="M175" s="48"/>
    </row>
    <row r="176" spans="1:13" s="46" customFormat="1" ht="12.75" hidden="1" customHeight="1" outlineLevel="2">
      <c r="A176" s="4"/>
      <c r="B176" s="1548"/>
      <c r="C176" s="32"/>
      <c r="D176" s="918"/>
      <c r="E176" s="918" t="s">
        <v>400</v>
      </c>
      <c r="F176" s="918"/>
      <c r="G176" s="918"/>
      <c r="H176" s="32">
        <v>786</v>
      </c>
      <c r="I176" s="919" t="s">
        <v>639</v>
      </c>
      <c r="J176" s="794">
        <f>'2052 et 2053 CR par nature'!K36-'Informations complémentaire'!G70</f>
        <v>0</v>
      </c>
      <c r="K176" s="578"/>
      <c r="L176" s="445"/>
      <c r="M176" s="48"/>
    </row>
    <row r="177" spans="1:13" s="46" customFormat="1" ht="12.75" hidden="1" customHeight="1" outlineLevel="2">
      <c r="A177" s="4"/>
      <c r="B177" s="1548"/>
      <c r="C177" s="32"/>
      <c r="D177" s="918"/>
      <c r="E177" s="918" t="s">
        <v>401</v>
      </c>
      <c r="F177" s="918"/>
      <c r="G177" s="918"/>
      <c r="H177" s="32">
        <v>787</v>
      </c>
      <c r="I177" s="919" t="s">
        <v>639</v>
      </c>
      <c r="J177" s="794">
        <f>'2052 et 2053 CR par nature'!K49-'Informations complémentaire'!G71</f>
        <v>0</v>
      </c>
      <c r="K177" s="578"/>
      <c r="L177" s="445"/>
      <c r="M177" s="48"/>
    </row>
    <row r="178" spans="1:13" s="46" customFormat="1" ht="12.75" hidden="1" customHeight="1" outlineLevel="1" collapsed="1">
      <c r="A178" s="4"/>
      <c r="B178" s="1548"/>
      <c r="C178" s="32"/>
      <c r="D178" s="918" t="s">
        <v>402</v>
      </c>
      <c r="E178" s="918"/>
      <c r="F178" s="918"/>
      <c r="G178" s="918"/>
      <c r="H178" s="32"/>
      <c r="I178" s="919" t="s">
        <v>638</v>
      </c>
      <c r="J178" s="795">
        <f>J171+J172+J173+J174-J175-J176-J177</f>
        <v>1631500</v>
      </c>
      <c r="K178" s="578"/>
      <c r="L178" s="445"/>
      <c r="M178" s="48"/>
    </row>
    <row r="179" spans="1:13" s="46" customFormat="1" ht="12.75" hidden="1" customHeight="1" outlineLevel="1">
      <c r="A179" s="4"/>
      <c r="B179" s="1548"/>
      <c r="C179" s="32"/>
      <c r="D179" s="918" t="s">
        <v>403</v>
      </c>
      <c r="E179" s="918"/>
      <c r="F179" s="918"/>
      <c r="G179" s="918" t="s">
        <v>404</v>
      </c>
      <c r="H179" s="32">
        <v>777</v>
      </c>
      <c r="I179" s="916"/>
      <c r="J179" s="794">
        <f>'2052 et 2053 CR par nature'!L78</f>
        <v>0</v>
      </c>
      <c r="K179" s="578"/>
      <c r="L179" s="445"/>
      <c r="M179" s="48"/>
    </row>
    <row r="180" spans="1:13" s="46" customFormat="1" ht="79.2" hidden="1" outlineLevel="1">
      <c r="A180" s="4"/>
      <c r="B180" s="1548"/>
      <c r="C180" s="32"/>
      <c r="D180" s="111" t="s">
        <v>1316</v>
      </c>
      <c r="E180" s="918"/>
      <c r="F180" s="918"/>
      <c r="G180" s="918" t="s">
        <v>405</v>
      </c>
      <c r="H180" s="921" t="s">
        <v>406</v>
      </c>
      <c r="I180" s="617" t="s">
        <v>633</v>
      </c>
      <c r="J180" s="794">
        <f>'Informations complémentaire'!G65</f>
        <v>0</v>
      </c>
      <c r="K180" s="578"/>
      <c r="L180" s="445"/>
      <c r="M180" s="48"/>
    </row>
    <row r="181" spans="1:13" s="46" customFormat="1" ht="35.1" customHeight="1" collapsed="1">
      <c r="A181" s="4"/>
      <c r="B181" s="1548"/>
      <c r="C181" s="32" t="s">
        <v>407</v>
      </c>
      <c r="D181" s="1516" t="s">
        <v>408</v>
      </c>
      <c r="E181" s="1516"/>
      <c r="F181" s="1516"/>
      <c r="G181" s="918"/>
      <c r="H181" s="32"/>
      <c r="I181" s="617" t="s">
        <v>660</v>
      </c>
      <c r="J181" s="796">
        <f>J170-J178+J179+J180</f>
        <v>2657800</v>
      </c>
      <c r="K181" s="578"/>
      <c r="L181" s="445"/>
      <c r="M181" s="48"/>
    </row>
    <row r="182" spans="1:13" s="46" customFormat="1" ht="25.5" hidden="1" customHeight="1" outlineLevel="2">
      <c r="A182" s="4"/>
      <c r="B182" s="1548"/>
      <c r="C182" s="32"/>
      <c r="D182" s="918"/>
      <c r="E182" s="918" t="s">
        <v>409</v>
      </c>
      <c r="F182" s="918"/>
      <c r="G182" s="918" t="s">
        <v>410</v>
      </c>
      <c r="H182" s="921" t="s">
        <v>411</v>
      </c>
      <c r="I182" s="916"/>
      <c r="J182" s="794">
        <f>'2052 et 2053 CR par nature'!K41</f>
        <v>315000</v>
      </c>
      <c r="K182" s="578"/>
      <c r="L182" s="445"/>
      <c r="M182" s="48"/>
    </row>
    <row r="183" spans="1:13" s="46" customFormat="1" ht="12.75" hidden="1" customHeight="1" outlineLevel="2">
      <c r="A183" s="4"/>
      <c r="B183" s="1548"/>
      <c r="C183" s="32"/>
      <c r="D183" s="918"/>
      <c r="E183" s="918" t="s">
        <v>412</v>
      </c>
      <c r="F183" s="918"/>
      <c r="G183" s="918" t="s">
        <v>413</v>
      </c>
      <c r="H183" s="32">
        <v>665</v>
      </c>
      <c r="I183" s="916"/>
      <c r="J183" s="794">
        <f>'Informations complémentaire'!G78</f>
        <v>0</v>
      </c>
      <c r="K183" s="578"/>
      <c r="L183" s="445"/>
      <c r="M183" s="48"/>
    </row>
    <row r="184" spans="1:13" s="46" customFormat="1" ht="12.75" hidden="1" customHeight="1" outlineLevel="2">
      <c r="A184" s="4"/>
      <c r="B184" s="1548"/>
      <c r="C184" s="32"/>
      <c r="D184" s="918"/>
      <c r="E184" s="50" t="s">
        <v>414</v>
      </c>
      <c r="F184" s="918"/>
      <c r="G184" s="918" t="s">
        <v>415</v>
      </c>
      <c r="H184" s="32" t="s">
        <v>416</v>
      </c>
      <c r="I184" s="916"/>
      <c r="J184" s="794">
        <f>'Informations complémentaire'!G27</f>
        <v>62500</v>
      </c>
      <c r="K184" s="578"/>
      <c r="L184" s="445"/>
      <c r="M184" s="48"/>
    </row>
    <row r="185" spans="1:13" s="46" customFormat="1" ht="39.6" hidden="1" outlineLevel="1" collapsed="1">
      <c r="A185" s="4"/>
      <c r="B185" s="1548"/>
      <c r="C185" s="32"/>
      <c r="D185" s="918" t="s">
        <v>417</v>
      </c>
      <c r="E185" s="918"/>
      <c r="F185" s="918"/>
      <c r="G185" s="918"/>
      <c r="H185" s="32"/>
      <c r="I185" s="617" t="s">
        <v>640</v>
      </c>
      <c r="J185" s="795">
        <f>J182-J183+J184</f>
        <v>377500</v>
      </c>
      <c r="K185" s="578"/>
      <c r="L185" s="445"/>
      <c r="M185" s="48"/>
    </row>
    <row r="186" spans="1:13" s="46" customFormat="1" ht="12.75" hidden="1" customHeight="1" outlineLevel="1">
      <c r="A186" s="4"/>
      <c r="B186" s="1548"/>
      <c r="C186" s="32"/>
      <c r="D186" s="918" t="s">
        <v>418</v>
      </c>
      <c r="E186" s="918"/>
      <c r="F186" s="918"/>
      <c r="G186" s="918" t="s">
        <v>419</v>
      </c>
      <c r="H186" s="32">
        <v>691</v>
      </c>
      <c r="I186" s="916"/>
      <c r="J186" s="794">
        <f>'2052 et 2053 CR par nature'!K56</f>
        <v>0</v>
      </c>
      <c r="K186" s="578"/>
      <c r="L186" s="445"/>
      <c r="M186" s="48"/>
    </row>
    <row r="187" spans="1:13" s="46" customFormat="1" ht="12.75" hidden="1" customHeight="1" outlineLevel="1">
      <c r="A187" s="4"/>
      <c r="B187" s="1548"/>
      <c r="C187" s="32"/>
      <c r="D187" s="918" t="s">
        <v>420</v>
      </c>
      <c r="E187" s="918"/>
      <c r="F187" s="918"/>
      <c r="G187" s="918" t="s">
        <v>421</v>
      </c>
      <c r="H187" s="32" t="s">
        <v>422</v>
      </c>
      <c r="I187" s="916"/>
      <c r="J187" s="794">
        <f>'2052 et 2053 CR par nature'!K57</f>
        <v>760025</v>
      </c>
      <c r="K187" s="578"/>
      <c r="L187" s="445"/>
      <c r="M187" s="48"/>
    </row>
    <row r="188" spans="1:13" s="46" customFormat="1" ht="35.1" customHeight="1" collapsed="1">
      <c r="A188" s="4"/>
      <c r="B188" s="1548"/>
      <c r="C188" s="32" t="s">
        <v>423</v>
      </c>
      <c r="D188" s="1516" t="s">
        <v>424</v>
      </c>
      <c r="E188" s="1516"/>
      <c r="F188" s="1516"/>
      <c r="G188" s="918"/>
      <c r="H188" s="32"/>
      <c r="I188" s="916"/>
      <c r="J188" s="796">
        <f>J181-J185-J186-J187</f>
        <v>1520275</v>
      </c>
      <c r="K188" s="578"/>
      <c r="L188" s="445"/>
      <c r="M188" s="48"/>
    </row>
    <row r="189" spans="1:13" s="46" customFormat="1" ht="12.75" hidden="1" customHeight="1" outlineLevel="2">
      <c r="A189" s="4"/>
      <c r="B189" s="1548"/>
      <c r="C189" s="32"/>
      <c r="D189" s="918"/>
      <c r="E189" s="918" t="s">
        <v>425</v>
      </c>
      <c r="F189" s="918"/>
      <c r="G189" s="918" t="s">
        <v>426</v>
      </c>
      <c r="H189" s="32">
        <v>775</v>
      </c>
      <c r="I189" s="916"/>
      <c r="J189" s="794">
        <f>'2052 et 2053 CR par nature'!L76</f>
        <v>0</v>
      </c>
      <c r="K189" s="578"/>
      <c r="L189" s="918"/>
      <c r="M189" s="48"/>
    </row>
    <row r="190" spans="1:13" s="46" customFormat="1" ht="12.75" hidden="1" customHeight="1" outlineLevel="2">
      <c r="A190" s="4"/>
      <c r="B190" s="1548"/>
      <c r="C190" s="32"/>
      <c r="D190" s="918"/>
      <c r="E190" s="918" t="s">
        <v>427</v>
      </c>
      <c r="F190" s="918"/>
      <c r="G190" s="918" t="s">
        <v>428</v>
      </c>
      <c r="H190" s="32">
        <v>675</v>
      </c>
      <c r="I190" s="916"/>
      <c r="J190" s="794">
        <f>'2052 et 2053 CR par nature'!K77</f>
        <v>0</v>
      </c>
      <c r="K190" s="578"/>
      <c r="L190" s="918"/>
      <c r="M190" s="48"/>
    </row>
    <row r="191" spans="1:13" s="46" customFormat="1" ht="12.75" hidden="1" customHeight="1" outlineLevel="1" collapsed="1">
      <c r="A191" s="4"/>
      <c r="B191" s="1548"/>
      <c r="C191" s="32"/>
      <c r="D191" s="918" t="s">
        <v>429</v>
      </c>
      <c r="E191" s="918"/>
      <c r="F191" s="918"/>
      <c r="G191" s="918"/>
      <c r="H191" s="32"/>
      <c r="I191" s="916"/>
      <c r="J191" s="795">
        <f>J189-J190</f>
        <v>0</v>
      </c>
      <c r="K191" s="578"/>
      <c r="L191" s="918"/>
      <c r="M191" s="48"/>
    </row>
    <row r="192" spans="1:13" s="46" customFormat="1" ht="35.1" customHeight="1" collapsed="1" thickBot="1">
      <c r="A192" s="4"/>
      <c r="B192" s="1549"/>
      <c r="C192" s="44" t="s">
        <v>430</v>
      </c>
      <c r="D192" s="1517" t="s">
        <v>431</v>
      </c>
      <c r="E192" s="1517"/>
      <c r="F192" s="1517"/>
      <c r="G192" s="45" t="s">
        <v>432</v>
      </c>
      <c r="H192" s="44"/>
      <c r="I192" s="791" t="s">
        <v>433</v>
      </c>
      <c r="J192" s="797">
        <f>J188+J191</f>
        <v>1520275</v>
      </c>
      <c r="K192" s="579"/>
      <c r="L192" s="45"/>
      <c r="M192" s="49"/>
    </row>
    <row r="193" spans="1:13" s="46" customFormat="1" ht="9.75" customHeight="1" thickBot="1">
      <c r="A193" s="4"/>
      <c r="B193" s="4"/>
      <c r="C193" s="9"/>
      <c r="D193" s="4"/>
      <c r="E193" s="4"/>
      <c r="F193" s="4"/>
      <c r="G193" s="4"/>
      <c r="H193" s="4"/>
      <c r="I193" s="4"/>
      <c r="J193" s="775"/>
      <c r="K193" s="723"/>
      <c r="L193" s="4"/>
      <c r="M193" s="4"/>
    </row>
    <row r="194" spans="1:13" s="46" customFormat="1" ht="20.25" hidden="1" customHeight="1" outlineLevel="1">
      <c r="A194" s="4"/>
      <c r="B194" s="1541" t="s">
        <v>497</v>
      </c>
      <c r="C194" s="776"/>
      <c r="D194" s="777" t="s">
        <v>434</v>
      </c>
      <c r="E194" s="580"/>
      <c r="F194" s="580"/>
      <c r="G194" s="580"/>
      <c r="H194" s="581"/>
      <c r="I194" s="778" t="s">
        <v>435</v>
      </c>
      <c r="J194" s="779">
        <f>J106</f>
        <v>9156000</v>
      </c>
      <c r="K194" s="830"/>
      <c r="L194" s="43"/>
      <c r="M194" s="756"/>
    </row>
    <row r="195" spans="1:13" s="46" customFormat="1" ht="25.5" hidden="1" customHeight="1" outlineLevel="2">
      <c r="A195" s="4"/>
      <c r="B195" s="1542"/>
      <c r="C195" s="13"/>
      <c r="D195" s="5"/>
      <c r="E195" s="24" t="s">
        <v>641</v>
      </c>
      <c r="F195" s="5"/>
      <c r="G195" s="5"/>
      <c r="H195" s="10">
        <v>74</v>
      </c>
      <c r="I195" s="17" t="s">
        <v>436</v>
      </c>
      <c r="J195" s="727">
        <f>'2052 et 2053 CR par nature'!K12-'Informations complémentaire'!G76</f>
        <v>0</v>
      </c>
      <c r="K195" s="831"/>
      <c r="L195" s="31"/>
      <c r="M195" s="746"/>
    </row>
    <row r="196" spans="1:13" s="46" customFormat="1" ht="25.5" hidden="1" customHeight="1" outlineLevel="3">
      <c r="A196" s="4"/>
      <c r="B196" s="1542"/>
      <c r="C196" s="13"/>
      <c r="D196" s="5"/>
      <c r="E196" s="5"/>
      <c r="F196" s="12" t="s">
        <v>437</v>
      </c>
      <c r="G196" s="5"/>
      <c r="H196" s="10">
        <v>751</v>
      </c>
      <c r="I196" s="14"/>
      <c r="J196" s="728"/>
      <c r="K196" s="831"/>
      <c r="L196" s="31"/>
      <c r="M196" s="746"/>
    </row>
    <row r="197" spans="1:13" s="46" customFormat="1" ht="12.75" hidden="1" customHeight="1" outlineLevel="3">
      <c r="A197" s="4"/>
      <c r="B197" s="1542"/>
      <c r="C197" s="13"/>
      <c r="D197" s="5"/>
      <c r="E197" s="5"/>
      <c r="F197" s="5" t="s">
        <v>438</v>
      </c>
      <c r="G197" s="5"/>
      <c r="H197" s="10">
        <v>752</v>
      </c>
      <c r="I197" s="14"/>
      <c r="J197" s="728"/>
      <c r="K197" s="831"/>
      <c r="L197" s="31"/>
      <c r="M197" s="746"/>
    </row>
    <row r="198" spans="1:13" s="46" customFormat="1" ht="12.75" hidden="1" customHeight="1" outlineLevel="3">
      <c r="A198" s="4"/>
      <c r="B198" s="1542"/>
      <c r="C198" s="13"/>
      <c r="D198" s="5"/>
      <c r="E198" s="5"/>
      <c r="F198" s="5" t="s">
        <v>439</v>
      </c>
      <c r="G198" s="5"/>
      <c r="H198" s="10">
        <v>753</v>
      </c>
      <c r="I198" s="14"/>
      <c r="J198" s="728"/>
      <c r="K198" s="831"/>
      <c r="L198" s="31"/>
      <c r="M198" s="746"/>
    </row>
    <row r="199" spans="1:13" s="46" customFormat="1" ht="12.75" hidden="1" customHeight="1" outlineLevel="3">
      <c r="A199" s="4"/>
      <c r="B199" s="1542"/>
      <c r="C199" s="13"/>
      <c r="D199" s="5"/>
      <c r="E199" s="5"/>
      <c r="F199" s="5" t="s">
        <v>440</v>
      </c>
      <c r="G199" s="5"/>
      <c r="H199" s="10">
        <v>754</v>
      </c>
      <c r="I199" s="14"/>
      <c r="J199" s="728"/>
      <c r="K199" s="831"/>
      <c r="L199" s="31"/>
      <c r="M199" s="746"/>
    </row>
    <row r="200" spans="1:13" s="46" customFormat="1" ht="12.75" hidden="1" customHeight="1" outlineLevel="3">
      <c r="A200" s="4"/>
      <c r="B200" s="1542"/>
      <c r="C200" s="13"/>
      <c r="D200" s="5"/>
      <c r="E200" s="5"/>
      <c r="F200" s="5" t="s">
        <v>441</v>
      </c>
      <c r="G200" s="5"/>
      <c r="H200" s="10">
        <v>758</v>
      </c>
      <c r="I200" s="14"/>
      <c r="J200" s="728"/>
      <c r="K200" s="831"/>
      <c r="L200" s="31"/>
      <c r="M200" s="746"/>
    </row>
    <row r="201" spans="1:13" s="46" customFormat="1" ht="38.25" hidden="1" customHeight="1" outlineLevel="2" collapsed="1">
      <c r="A201" s="4"/>
      <c r="B201" s="1542"/>
      <c r="C201" s="13"/>
      <c r="D201" s="5"/>
      <c r="E201" s="5" t="s">
        <v>442</v>
      </c>
      <c r="F201" s="5"/>
      <c r="G201" s="5" t="s">
        <v>443</v>
      </c>
      <c r="H201" s="28" t="s">
        <v>592</v>
      </c>
      <c r="I201" s="14"/>
      <c r="J201" s="727">
        <f>'2052 et 2053 CR par nature'!K14</f>
        <v>0</v>
      </c>
      <c r="K201" s="831"/>
      <c r="L201" s="31"/>
      <c r="M201" s="746"/>
    </row>
    <row r="202" spans="1:13" s="46" customFormat="1" ht="25.5" hidden="1" customHeight="1" outlineLevel="3">
      <c r="A202" s="4"/>
      <c r="B202" s="1542"/>
      <c r="C202" s="13"/>
      <c r="D202" s="5"/>
      <c r="E202" s="5"/>
      <c r="F202" s="12" t="s">
        <v>444</v>
      </c>
      <c r="G202" s="5"/>
      <c r="H202" s="10">
        <v>651</v>
      </c>
      <c r="I202" s="14"/>
      <c r="J202" s="728"/>
      <c r="K202" s="831"/>
      <c r="L202" s="31"/>
      <c r="M202" s="746"/>
    </row>
    <row r="203" spans="1:13" s="46" customFormat="1" ht="12.75" hidden="1" customHeight="1" outlineLevel="3">
      <c r="A203" s="4"/>
      <c r="B203" s="1542"/>
      <c r="C203" s="13"/>
      <c r="D203" s="5"/>
      <c r="E203" s="5"/>
      <c r="F203" s="5" t="s">
        <v>445</v>
      </c>
      <c r="G203" s="5"/>
      <c r="H203" s="10">
        <v>653</v>
      </c>
      <c r="I203" s="14"/>
      <c r="J203" s="728"/>
      <c r="K203" s="831"/>
      <c r="L203" s="31"/>
      <c r="M203" s="746"/>
    </row>
    <row r="204" spans="1:13" s="46" customFormat="1" ht="12.75" hidden="1" customHeight="1" outlineLevel="3">
      <c r="A204" s="4"/>
      <c r="B204" s="1542"/>
      <c r="C204" s="13"/>
      <c r="D204" s="5"/>
      <c r="E204" s="5"/>
      <c r="F204" s="5" t="s">
        <v>446</v>
      </c>
      <c r="G204" s="5"/>
      <c r="H204" s="10">
        <v>654</v>
      </c>
      <c r="I204" s="14"/>
      <c r="J204" s="728"/>
      <c r="K204" s="831"/>
      <c r="L204" s="31"/>
      <c r="M204" s="746"/>
    </row>
    <row r="205" spans="1:13" s="46" customFormat="1" ht="12.75" hidden="1" customHeight="1" outlineLevel="3">
      <c r="A205" s="4"/>
      <c r="B205" s="1542"/>
      <c r="C205" s="13"/>
      <c r="D205" s="5"/>
      <c r="E205" s="5"/>
      <c r="F205" s="5" t="s">
        <v>447</v>
      </c>
      <c r="G205" s="5"/>
      <c r="H205" s="10">
        <v>658</v>
      </c>
      <c r="I205" s="14"/>
      <c r="J205" s="728"/>
      <c r="K205" s="831"/>
      <c r="L205" s="31"/>
      <c r="M205" s="746"/>
    </row>
    <row r="206" spans="1:13" s="46" customFormat="1" ht="25.5" hidden="1" customHeight="1" outlineLevel="2" collapsed="1">
      <c r="A206" s="4"/>
      <c r="B206" s="1542"/>
      <c r="C206" s="13"/>
      <c r="D206" s="5"/>
      <c r="E206" s="5" t="s">
        <v>448</v>
      </c>
      <c r="F206" s="5"/>
      <c r="G206" s="5" t="s">
        <v>449</v>
      </c>
      <c r="H206" s="28" t="s">
        <v>594</v>
      </c>
      <c r="I206" s="14"/>
      <c r="J206" s="727">
        <f>'2052 et 2053 CR par nature'!K28</f>
        <v>0</v>
      </c>
      <c r="K206" s="831"/>
      <c r="L206" s="31"/>
      <c r="M206" s="746"/>
    </row>
    <row r="207" spans="1:13" s="46" customFormat="1" ht="12.75" hidden="1" customHeight="1" outlineLevel="2">
      <c r="A207" s="4"/>
      <c r="B207" s="1542"/>
      <c r="C207" s="13"/>
      <c r="D207" s="5"/>
      <c r="E207" s="5" t="s">
        <v>450</v>
      </c>
      <c r="F207" s="5"/>
      <c r="G207" s="5" t="s">
        <v>451</v>
      </c>
      <c r="H207" s="10">
        <v>765</v>
      </c>
      <c r="I207" s="14"/>
      <c r="J207" s="727">
        <f>'Informations complémentaire'!G79</f>
        <v>0</v>
      </c>
      <c r="K207" s="831"/>
      <c r="L207" s="31"/>
      <c r="M207" s="746"/>
    </row>
    <row r="208" spans="1:13" s="46" customFormat="1" ht="12.75" hidden="1" customHeight="1" outlineLevel="2">
      <c r="A208" s="4"/>
      <c r="B208" s="1542"/>
      <c r="C208" s="13"/>
      <c r="D208" s="5"/>
      <c r="E208" s="5" t="s">
        <v>452</v>
      </c>
      <c r="F208" s="5"/>
      <c r="G208" s="5" t="s">
        <v>453</v>
      </c>
      <c r="H208" s="10">
        <v>665</v>
      </c>
      <c r="I208" s="14"/>
      <c r="J208" s="727">
        <f>'Informations complémentaire'!G78</f>
        <v>0</v>
      </c>
      <c r="K208" s="831"/>
      <c r="L208" s="31"/>
      <c r="M208" s="746"/>
    </row>
    <row r="209" spans="1:13" s="46" customFormat="1" ht="21.75" hidden="1" customHeight="1" outlineLevel="1" collapsed="1">
      <c r="A209" s="4"/>
      <c r="B209" s="1542"/>
      <c r="C209" s="13"/>
      <c r="D209" s="53" t="s">
        <v>645</v>
      </c>
      <c r="E209" s="5"/>
      <c r="F209" s="5"/>
      <c r="G209" s="5"/>
      <c r="H209" s="10"/>
      <c r="I209" s="51" t="s">
        <v>642</v>
      </c>
      <c r="J209" s="728">
        <f>J121</f>
        <v>0</v>
      </c>
      <c r="K209" s="831"/>
      <c r="L209" s="31"/>
      <c r="M209" s="746"/>
    </row>
    <row r="210" spans="1:13" s="46" customFormat="1" ht="12.75" hidden="1" customHeight="1" outlineLevel="3">
      <c r="A210" s="4"/>
      <c r="B210" s="1542"/>
      <c r="C210" s="13"/>
      <c r="D210" s="5"/>
      <c r="E210" s="5"/>
      <c r="F210" s="5" t="s">
        <v>454</v>
      </c>
      <c r="G210" s="5" t="s">
        <v>455</v>
      </c>
      <c r="H210" s="10">
        <v>755</v>
      </c>
      <c r="I210" s="18"/>
      <c r="J210" s="727">
        <f>'2052 et 2053 CR par nature'!K31</f>
        <v>0</v>
      </c>
      <c r="K210" s="831"/>
      <c r="L210" s="445"/>
      <c r="M210" s="746"/>
    </row>
    <row r="211" spans="1:13" s="46" customFormat="1" ht="12.75" hidden="1" customHeight="1" outlineLevel="3">
      <c r="A211" s="4"/>
      <c r="B211" s="1542"/>
      <c r="C211" s="13"/>
      <c r="D211" s="5"/>
      <c r="E211" s="5"/>
      <c r="F211" s="5" t="s">
        <v>456</v>
      </c>
      <c r="G211" s="5" t="s">
        <v>457</v>
      </c>
      <c r="H211" s="10">
        <v>655</v>
      </c>
      <c r="I211" s="18"/>
      <c r="J211" s="727">
        <f>'2052 et 2053 CR par nature'!K32</f>
        <v>0</v>
      </c>
      <c r="K211" s="831"/>
      <c r="L211" s="445"/>
      <c r="M211" s="746"/>
    </row>
    <row r="212" spans="1:13" s="46" customFormat="1" ht="12.75" hidden="1" customHeight="1" outlineLevel="2" collapsed="1">
      <c r="A212" s="4"/>
      <c r="B212" s="1542"/>
      <c r="C212" s="13"/>
      <c r="D212" s="5"/>
      <c r="E212" s="5" t="s">
        <v>458</v>
      </c>
      <c r="F212" s="5"/>
      <c r="G212" s="5"/>
      <c r="H212" s="10"/>
      <c r="I212" s="18"/>
      <c r="J212" s="728">
        <f>J151</f>
        <v>0</v>
      </c>
      <c r="K212" s="831"/>
      <c r="L212" s="445"/>
      <c r="M212" s="746"/>
    </row>
    <row r="213" spans="1:13" s="46" customFormat="1" ht="25.5" hidden="1" customHeight="1" outlineLevel="3">
      <c r="A213" s="4"/>
      <c r="B213" s="1542"/>
      <c r="C213" s="13"/>
      <c r="D213" s="5"/>
      <c r="E213" s="5"/>
      <c r="F213" s="5" t="s">
        <v>459</v>
      </c>
      <c r="G213" s="5" t="s">
        <v>460</v>
      </c>
      <c r="H213" s="11" t="s">
        <v>461</v>
      </c>
      <c r="I213" s="18"/>
      <c r="J213" s="727">
        <f>'2052 et 2053 CR par nature'!K45</f>
        <v>-315000</v>
      </c>
      <c r="K213" s="831"/>
      <c r="L213" s="445"/>
      <c r="M213" s="746"/>
    </row>
    <row r="214" spans="1:13" s="46" customFormat="1" ht="12.75" hidden="1" customHeight="1" outlineLevel="3">
      <c r="A214" s="4"/>
      <c r="B214" s="1542"/>
      <c r="C214" s="13"/>
      <c r="D214" s="5"/>
      <c r="E214" s="5"/>
      <c r="F214" s="5" t="s">
        <v>462</v>
      </c>
      <c r="G214" s="5" t="s">
        <v>463</v>
      </c>
      <c r="H214" s="10">
        <v>686</v>
      </c>
      <c r="I214" s="18"/>
      <c r="J214" s="727">
        <f>'2052 et 2053 CR par nature'!K40</f>
        <v>0</v>
      </c>
      <c r="K214" s="831"/>
      <c r="L214" s="445"/>
      <c r="M214" s="746"/>
    </row>
    <row r="215" spans="1:13" s="46" customFormat="1" ht="12.75" hidden="1" customHeight="1" outlineLevel="3">
      <c r="A215" s="4"/>
      <c r="B215" s="1542"/>
      <c r="C215" s="13"/>
      <c r="D215" s="5"/>
      <c r="E215" s="5"/>
      <c r="F215" s="5" t="s">
        <v>464</v>
      </c>
      <c r="G215" s="5" t="s">
        <v>465</v>
      </c>
      <c r="H215" s="10" t="s">
        <v>466</v>
      </c>
      <c r="I215" s="18"/>
      <c r="J215" s="727">
        <f>'2052 et 2053 CR par nature'!K36</f>
        <v>0</v>
      </c>
      <c r="K215" s="831"/>
      <c r="L215" s="445"/>
      <c r="M215" s="746"/>
    </row>
    <row r="216" spans="1:13" s="46" customFormat="1" ht="25.5" hidden="1" customHeight="1" outlineLevel="3">
      <c r="A216" s="4"/>
      <c r="B216" s="1542"/>
      <c r="C216" s="13"/>
      <c r="D216" s="5"/>
      <c r="E216" s="5"/>
      <c r="F216" s="5" t="s">
        <v>467</v>
      </c>
      <c r="G216" s="5" t="s">
        <v>468</v>
      </c>
      <c r="H216" s="11" t="s">
        <v>469</v>
      </c>
      <c r="I216" s="18"/>
      <c r="J216" s="727">
        <f>'2052 et 2053 CR par nature'!K41</f>
        <v>315000</v>
      </c>
      <c r="K216" s="831"/>
      <c r="L216" s="445"/>
      <c r="M216" s="746"/>
    </row>
    <row r="217" spans="1:13" s="46" customFormat="1" ht="12.75" hidden="1" customHeight="1" outlineLevel="3">
      <c r="A217" s="4"/>
      <c r="B217" s="1542"/>
      <c r="C217" s="13"/>
      <c r="D217" s="5"/>
      <c r="E217" s="5"/>
      <c r="F217" s="5" t="s">
        <v>470</v>
      </c>
      <c r="G217" s="5" t="s">
        <v>471</v>
      </c>
      <c r="H217" s="10">
        <v>765</v>
      </c>
      <c r="I217" s="18"/>
      <c r="J217" s="727">
        <f>'Informations complémentaire'!G79</f>
        <v>0</v>
      </c>
      <c r="K217" s="831"/>
      <c r="L217" s="445"/>
      <c r="M217" s="746"/>
    </row>
    <row r="218" spans="1:13" s="46" customFormat="1" ht="12.75" hidden="1" customHeight="1" outlineLevel="2" collapsed="1">
      <c r="A218" s="4"/>
      <c r="B218" s="1542"/>
      <c r="C218" s="13"/>
      <c r="D218" s="5"/>
      <c r="E218" s="5" t="s">
        <v>472</v>
      </c>
      <c r="F218" s="5"/>
      <c r="G218" s="5"/>
      <c r="H218" s="10"/>
      <c r="I218" s="51" t="s">
        <v>646</v>
      </c>
      <c r="J218" s="728">
        <f>J161</f>
        <v>0</v>
      </c>
      <c r="K218" s="831"/>
      <c r="L218" s="117"/>
      <c r="M218" s="746"/>
    </row>
    <row r="219" spans="1:13" s="46" customFormat="1" ht="25.5" hidden="1" customHeight="1" outlineLevel="3">
      <c r="A219" s="4"/>
      <c r="B219" s="1542"/>
      <c r="C219" s="13"/>
      <c r="D219" s="5"/>
      <c r="E219" s="5"/>
      <c r="F219" s="5" t="s">
        <v>473</v>
      </c>
      <c r="G219" s="5" t="s">
        <v>474</v>
      </c>
      <c r="H219" s="11" t="s">
        <v>475</v>
      </c>
      <c r="I219" s="18"/>
      <c r="J219" s="727">
        <f>'2052 et 2053 CR par nature'!K55</f>
        <v>65000</v>
      </c>
      <c r="K219" s="831"/>
      <c r="L219" s="445"/>
      <c r="M219" s="746"/>
    </row>
    <row r="220" spans="1:13" s="46" customFormat="1" ht="12.75" hidden="1" customHeight="1" outlineLevel="3">
      <c r="A220" s="4"/>
      <c r="B220" s="1542"/>
      <c r="C220" s="13"/>
      <c r="D220" s="5"/>
      <c r="E220" s="5"/>
      <c r="F220" s="5" t="s">
        <v>476</v>
      </c>
      <c r="G220" s="5" t="s">
        <v>477</v>
      </c>
      <c r="H220" s="10">
        <v>687</v>
      </c>
      <c r="I220" s="18"/>
      <c r="J220" s="727">
        <f>'2052 et 2053 CR par nature'!K53</f>
        <v>0</v>
      </c>
      <c r="K220" s="831"/>
      <c r="L220" s="445"/>
      <c r="M220" s="746"/>
    </row>
    <row r="221" spans="1:13" s="46" customFormat="1" ht="12.75" hidden="1" customHeight="1" outlineLevel="3">
      <c r="A221" s="4"/>
      <c r="B221" s="1542"/>
      <c r="C221" s="13"/>
      <c r="D221" s="5"/>
      <c r="E221" s="5"/>
      <c r="F221" s="5" t="s">
        <v>478</v>
      </c>
      <c r="G221" s="5" t="s">
        <v>479</v>
      </c>
      <c r="H221" s="10" t="s">
        <v>480</v>
      </c>
      <c r="I221" s="18"/>
      <c r="J221" s="727">
        <f>'2052 et 2053 CR par nature'!K49</f>
        <v>0</v>
      </c>
      <c r="K221" s="831"/>
      <c r="L221" s="445"/>
      <c r="M221" s="746"/>
    </row>
    <row r="222" spans="1:13" s="46" customFormat="1" ht="12.75" hidden="1" customHeight="1" outlineLevel="3">
      <c r="A222" s="4"/>
      <c r="B222" s="1542"/>
      <c r="C222" s="13"/>
      <c r="D222" s="5"/>
      <c r="E222" s="5"/>
      <c r="F222" s="5" t="s">
        <v>481</v>
      </c>
      <c r="G222" s="5" t="s">
        <v>482</v>
      </c>
      <c r="H222" s="10">
        <v>675</v>
      </c>
      <c r="I222" s="18"/>
      <c r="J222" s="727">
        <f>'2052 et 2053 CR par nature'!K77</f>
        <v>0</v>
      </c>
      <c r="K222" s="831"/>
      <c r="L222" s="445"/>
      <c r="M222" s="746"/>
    </row>
    <row r="223" spans="1:13" s="46" customFormat="1" ht="12.75" hidden="1" customHeight="1" outlineLevel="3">
      <c r="A223" s="4"/>
      <c r="B223" s="1542"/>
      <c r="C223" s="13"/>
      <c r="D223" s="5"/>
      <c r="E223" s="5"/>
      <c r="F223" s="5" t="s">
        <v>483</v>
      </c>
      <c r="G223" s="5" t="s">
        <v>484</v>
      </c>
      <c r="H223" s="10">
        <v>775</v>
      </c>
      <c r="I223" s="18"/>
      <c r="J223" s="727">
        <f>'2052 et 2053 CR par nature'!L76</f>
        <v>0</v>
      </c>
      <c r="K223" s="831"/>
      <c r="L223" s="445"/>
      <c r="M223" s="746"/>
    </row>
    <row r="224" spans="1:13" s="46" customFormat="1" ht="12.75" hidden="1" customHeight="1" outlineLevel="3">
      <c r="A224" s="4"/>
      <c r="B224" s="1542"/>
      <c r="C224" s="13"/>
      <c r="D224" s="5"/>
      <c r="E224" s="5"/>
      <c r="F224" s="5" t="s">
        <v>485</v>
      </c>
      <c r="G224" s="5" t="s">
        <v>486</v>
      </c>
      <c r="H224" s="10">
        <v>777</v>
      </c>
      <c r="I224" s="18"/>
      <c r="J224" s="727">
        <f>'2052 et 2053 CR par nature'!L78</f>
        <v>0</v>
      </c>
      <c r="K224" s="831"/>
      <c r="L224" s="445"/>
      <c r="M224" s="746"/>
    </row>
    <row r="225" spans="1:13" s="46" customFormat="1" ht="12.75" hidden="1" customHeight="1" outlineLevel="2" collapsed="1">
      <c r="A225" s="4"/>
      <c r="B225" s="1542"/>
      <c r="C225" s="13"/>
      <c r="D225" s="5"/>
      <c r="E225" s="5" t="s">
        <v>487</v>
      </c>
      <c r="F225" s="5"/>
      <c r="G225" s="5"/>
      <c r="H225" s="10"/>
      <c r="I225" s="51" t="s">
        <v>646</v>
      </c>
      <c r="J225" s="728">
        <f>J168</f>
        <v>65000</v>
      </c>
      <c r="K225" s="831"/>
      <c r="L225" s="445"/>
      <c r="M225" s="746"/>
    </row>
    <row r="226" spans="1:13" s="46" customFormat="1" ht="25.5" hidden="1" customHeight="1" outlineLevel="1" collapsed="1">
      <c r="A226" s="4"/>
      <c r="B226" s="1542"/>
      <c r="C226" s="13"/>
      <c r="D226" s="53" t="s">
        <v>644</v>
      </c>
      <c r="E226" s="5"/>
      <c r="F226" s="5"/>
      <c r="G226" s="5"/>
      <c r="H226" s="10"/>
      <c r="I226" s="52" t="s">
        <v>643</v>
      </c>
      <c r="J226" s="728">
        <f>J212+J218+J225</f>
        <v>65000</v>
      </c>
      <c r="K226" s="831"/>
      <c r="L226" s="445"/>
      <c r="M226" s="746"/>
    </row>
    <row r="227" spans="1:13" s="46" customFormat="1" ht="12.75" hidden="1" customHeight="1" outlineLevel="3">
      <c r="A227" s="4"/>
      <c r="B227" s="1542"/>
      <c r="C227" s="13"/>
      <c r="D227" s="5"/>
      <c r="E227" s="5"/>
      <c r="F227" s="5" t="s">
        <v>488</v>
      </c>
      <c r="G227" s="5"/>
      <c r="H227" s="10"/>
      <c r="I227" s="18"/>
      <c r="J227" s="728">
        <f>'Informations complémentaire'!G65</f>
        <v>0</v>
      </c>
      <c r="K227" s="831"/>
      <c r="L227" s="445"/>
      <c r="M227" s="746"/>
    </row>
    <row r="228" spans="1:13" s="46" customFormat="1" ht="12.75" hidden="1" customHeight="1" outlineLevel="3">
      <c r="A228" s="4"/>
      <c r="B228" s="1542"/>
      <c r="C228" s="13"/>
      <c r="D228" s="5"/>
      <c r="E228" s="5"/>
      <c r="F228" s="5" t="s">
        <v>489</v>
      </c>
      <c r="G228" s="5"/>
      <c r="H228" s="10"/>
      <c r="I228" s="18"/>
      <c r="J228" s="728">
        <f>'Informations complémentaire'!G66</f>
        <v>0</v>
      </c>
      <c r="K228" s="831"/>
      <c r="L228" s="445"/>
      <c r="M228" s="746"/>
    </row>
    <row r="229" spans="1:13" s="46" customFormat="1" ht="12.75" hidden="1" customHeight="1" outlineLevel="3">
      <c r="A229" s="4"/>
      <c r="B229" s="1542"/>
      <c r="C229" s="13"/>
      <c r="D229" s="5"/>
      <c r="E229" s="5"/>
      <c r="F229" s="5" t="s">
        <v>490</v>
      </c>
      <c r="G229" s="5"/>
      <c r="H229" s="10"/>
      <c r="I229" s="18"/>
      <c r="J229" s="728">
        <f>'Informations complémentaire'!G67</f>
        <v>0</v>
      </c>
      <c r="K229" s="831"/>
      <c r="L229" s="445"/>
      <c r="M229" s="746"/>
    </row>
    <row r="230" spans="1:13" s="46" customFormat="1" ht="12.75" hidden="1" customHeight="1" outlineLevel="3">
      <c r="A230" s="4"/>
      <c r="B230" s="1542"/>
      <c r="C230" s="13"/>
      <c r="D230" s="5"/>
      <c r="E230" s="5"/>
      <c r="F230" s="5" t="s">
        <v>491</v>
      </c>
      <c r="G230" s="5"/>
      <c r="H230" s="10"/>
      <c r="I230" s="18"/>
      <c r="J230" s="728">
        <f>'Informations complémentaire'!G68</f>
        <v>0</v>
      </c>
      <c r="K230" s="831"/>
      <c r="L230" s="445"/>
      <c r="M230" s="746"/>
    </row>
    <row r="231" spans="1:13" s="46" customFormat="1" ht="12.75" hidden="1" customHeight="1" outlineLevel="2" collapsed="1">
      <c r="A231" s="4"/>
      <c r="B231" s="1542"/>
      <c r="C231" s="13"/>
      <c r="D231" s="5"/>
      <c r="E231" s="5" t="s">
        <v>492</v>
      </c>
      <c r="F231" s="5"/>
      <c r="G231" s="5"/>
      <c r="H231" s="10">
        <v>791</v>
      </c>
      <c r="I231" s="18"/>
      <c r="J231" s="728">
        <f>'Informations complémentaire'!G64</f>
        <v>0</v>
      </c>
      <c r="K231" s="831"/>
      <c r="L231" s="445"/>
      <c r="M231" s="746"/>
    </row>
    <row r="232" spans="1:13" s="46" customFormat="1" ht="12.75" hidden="1" customHeight="1" outlineLevel="2">
      <c r="A232" s="4"/>
      <c r="B232" s="1542"/>
      <c r="C232" s="13"/>
      <c r="D232" s="5"/>
      <c r="E232" s="5" t="s">
        <v>493</v>
      </c>
      <c r="F232" s="5"/>
      <c r="G232" s="5"/>
      <c r="H232" s="10">
        <v>796</v>
      </c>
      <c r="I232" s="18"/>
      <c r="J232" s="728">
        <f>'Informations complémentaire'!G70</f>
        <v>0</v>
      </c>
      <c r="K232" s="831"/>
      <c r="L232" s="445"/>
      <c r="M232" s="746"/>
    </row>
    <row r="233" spans="1:13" s="46" customFormat="1" ht="12.75" hidden="1" customHeight="1" outlineLevel="2">
      <c r="A233" s="4"/>
      <c r="B233" s="1542"/>
      <c r="C233" s="13"/>
      <c r="D233" s="5"/>
      <c r="E233" s="5" t="s">
        <v>494</v>
      </c>
      <c r="F233" s="5"/>
      <c r="G233" s="5"/>
      <c r="H233" s="10">
        <v>797</v>
      </c>
      <c r="I233" s="18"/>
      <c r="J233" s="728">
        <f>'Informations complémentaire'!G71</f>
        <v>0</v>
      </c>
      <c r="K233" s="831"/>
      <c r="L233" s="445"/>
      <c r="M233" s="746"/>
    </row>
    <row r="234" spans="1:13" s="46" customFormat="1" ht="20.25" hidden="1" customHeight="1" outlineLevel="1" collapsed="1" thickBot="1">
      <c r="A234" s="4"/>
      <c r="B234" s="1542"/>
      <c r="C234" s="13"/>
      <c r="D234" s="56" t="s">
        <v>495</v>
      </c>
      <c r="E234" s="56"/>
      <c r="F234" s="56"/>
      <c r="G234" s="56"/>
      <c r="H234" s="89"/>
      <c r="I234" s="90"/>
      <c r="J234" s="774">
        <f>J231+J232+J233</f>
        <v>0</v>
      </c>
      <c r="K234" s="691"/>
      <c r="L234" s="783"/>
      <c r="M234" s="757"/>
    </row>
    <row r="235" spans="1:13" s="46" customFormat="1" ht="35.1" customHeight="1" collapsed="1" thickBot="1">
      <c r="A235" s="4"/>
      <c r="B235" s="1542"/>
      <c r="C235" s="20" t="s">
        <v>496</v>
      </c>
      <c r="D235" s="1518" t="s">
        <v>497</v>
      </c>
      <c r="E235" s="1519"/>
      <c r="F235" s="1520"/>
      <c r="G235" s="93"/>
      <c r="H235" s="94"/>
      <c r="I235" s="95"/>
      <c r="J235" s="798">
        <f>J194+J209+J226+J234</f>
        <v>9221000</v>
      </c>
      <c r="K235" s="785"/>
      <c r="L235" s="786"/>
      <c r="M235" s="787"/>
    </row>
    <row r="236" spans="1:13" s="46" customFormat="1" ht="12.75" hidden="1" customHeight="1" outlineLevel="1">
      <c r="A236" s="4"/>
      <c r="B236" s="1542"/>
      <c r="C236" s="13"/>
      <c r="D236" s="1544" t="s">
        <v>498</v>
      </c>
      <c r="E236" s="22"/>
      <c r="F236" s="22" t="s">
        <v>499</v>
      </c>
      <c r="G236" s="22"/>
      <c r="H236" s="91"/>
      <c r="I236" s="92"/>
      <c r="J236" s="799">
        <f>'2052 et 2053 CR par nature'!K22</f>
        <v>2846000</v>
      </c>
      <c r="K236" s="567"/>
      <c r="L236" s="784"/>
      <c r="M236" s="761"/>
    </row>
    <row r="237" spans="1:13" s="46" customFormat="1" ht="12.75" hidden="1" customHeight="1" outlineLevel="1">
      <c r="A237" s="4"/>
      <c r="B237" s="1542"/>
      <c r="C237" s="13"/>
      <c r="D237" s="1542"/>
      <c r="E237" s="5"/>
      <c r="F237" s="5" t="s">
        <v>500</v>
      </c>
      <c r="G237" s="5"/>
      <c r="H237" s="10"/>
      <c r="I237" s="18"/>
      <c r="J237" s="800">
        <f>'2052 et 2053 CR par nature'!K23</f>
        <v>1280700</v>
      </c>
      <c r="K237" s="553"/>
      <c r="L237" s="445"/>
      <c r="M237" s="48"/>
    </row>
    <row r="238" spans="1:13" s="46" customFormat="1" ht="12.75" hidden="1" customHeight="1" outlineLevel="1">
      <c r="A238" s="4"/>
      <c r="B238" s="1542"/>
      <c r="C238" s="13"/>
      <c r="D238" s="1542"/>
      <c r="E238" s="5"/>
      <c r="F238" s="25" t="s">
        <v>501</v>
      </c>
      <c r="G238" s="5"/>
      <c r="H238" s="10"/>
      <c r="I238" s="18"/>
      <c r="J238" s="800">
        <f>'2052 et 2053 CR par nature'!K56</f>
        <v>0</v>
      </c>
      <c r="K238" s="553"/>
      <c r="L238" s="445"/>
      <c r="M238" s="48"/>
    </row>
    <row r="239" spans="1:13" s="46" customFormat="1" ht="12.75" hidden="1" customHeight="1" outlineLevel="1">
      <c r="A239" s="4"/>
      <c r="B239" s="1542"/>
      <c r="C239" s="13"/>
      <c r="D239" s="1542"/>
      <c r="E239" s="5"/>
      <c r="F239" s="5" t="s">
        <v>502</v>
      </c>
      <c r="G239" s="5"/>
      <c r="H239" s="10"/>
      <c r="I239" s="18" t="s">
        <v>503</v>
      </c>
      <c r="J239" s="800">
        <f>'Informations complémentaire'!G73</f>
        <v>120000</v>
      </c>
      <c r="K239" s="553"/>
      <c r="L239" s="445"/>
      <c r="M239" s="48"/>
    </row>
    <row r="240" spans="1:13" s="46" customFormat="1" ht="15.75" customHeight="1" collapsed="1">
      <c r="A240" s="4"/>
      <c r="B240" s="1542"/>
      <c r="C240" s="13"/>
      <c r="D240" s="1542"/>
      <c r="E240" s="54" t="s">
        <v>647</v>
      </c>
      <c r="F240" s="5"/>
      <c r="G240" s="5"/>
      <c r="H240" s="10"/>
      <c r="I240" s="18" t="s">
        <v>504</v>
      </c>
      <c r="J240" s="801">
        <f>J236+J237+J238+J239</f>
        <v>4246700</v>
      </c>
      <c r="K240" s="553"/>
      <c r="L240" s="445"/>
      <c r="M240" s="48"/>
    </row>
    <row r="241" spans="1:14" s="46" customFormat="1" ht="12.75" hidden="1" customHeight="1" outlineLevel="1">
      <c r="A241" s="4"/>
      <c r="B241" s="1542"/>
      <c r="C241" s="13"/>
      <c r="D241" s="1542"/>
      <c r="E241" s="5"/>
      <c r="F241" s="5" t="s">
        <v>505</v>
      </c>
      <c r="G241" s="5"/>
      <c r="H241" s="10">
        <v>63</v>
      </c>
      <c r="I241" s="18"/>
      <c r="J241" s="800">
        <f>'2052 et 2053 CR par nature'!K21</f>
        <v>685000</v>
      </c>
      <c r="K241" s="553"/>
      <c r="L241" s="445"/>
      <c r="M241" s="48"/>
    </row>
    <row r="242" spans="1:14" s="46" customFormat="1" ht="12.75" hidden="1" customHeight="1" outlineLevel="1">
      <c r="A242" s="4"/>
      <c r="B242" s="1542"/>
      <c r="C242" s="13"/>
      <c r="D242" s="1542"/>
      <c r="E242" s="5"/>
      <c r="F242" s="5" t="s">
        <v>506</v>
      </c>
      <c r="G242" s="5"/>
      <c r="H242" s="10"/>
      <c r="I242" s="18"/>
      <c r="J242" s="800">
        <f>'2052 et 2053 CR par nature'!K57</f>
        <v>760025</v>
      </c>
      <c r="K242" s="553"/>
      <c r="L242" s="445"/>
      <c r="M242" s="48"/>
    </row>
    <row r="243" spans="1:14" s="46" customFormat="1" ht="16.5" customHeight="1" collapsed="1">
      <c r="A243" s="4"/>
      <c r="B243" s="1542"/>
      <c r="C243" s="13"/>
      <c r="D243" s="1542"/>
      <c r="E243" s="54" t="s">
        <v>648</v>
      </c>
      <c r="F243" s="5"/>
      <c r="G243" s="5"/>
      <c r="H243" s="10"/>
      <c r="I243" s="18" t="s">
        <v>507</v>
      </c>
      <c r="J243" s="801">
        <f>J241+J242</f>
        <v>1445025</v>
      </c>
      <c r="K243" s="553"/>
      <c r="L243" s="445"/>
      <c r="M243" s="48"/>
    </row>
    <row r="244" spans="1:14" s="46" customFormat="1" ht="25.5" hidden="1" customHeight="1" outlineLevel="1">
      <c r="A244" s="4"/>
      <c r="B244" s="1542"/>
      <c r="C244" s="13"/>
      <c r="D244" s="1542"/>
      <c r="E244" s="5"/>
      <c r="F244" s="5" t="s">
        <v>508</v>
      </c>
      <c r="G244" s="5" t="s">
        <v>509</v>
      </c>
      <c r="H244" s="11" t="s">
        <v>510</v>
      </c>
      <c r="I244" s="18"/>
      <c r="J244" s="800">
        <f>'2052 et 2053 CR par nature'!K41</f>
        <v>315000</v>
      </c>
      <c r="K244" s="553"/>
      <c r="L244" s="445"/>
      <c r="M244" s="48"/>
    </row>
    <row r="245" spans="1:14" s="46" customFormat="1" ht="12.75" hidden="1" customHeight="1" outlineLevel="1">
      <c r="A245" s="4"/>
      <c r="B245" s="1542"/>
      <c r="C245" s="13"/>
      <c r="D245" s="1542"/>
      <c r="E245" s="5"/>
      <c r="F245" s="5" t="s">
        <v>511</v>
      </c>
      <c r="G245" s="5" t="s">
        <v>512</v>
      </c>
      <c r="H245" s="10">
        <v>665</v>
      </c>
      <c r="I245" s="18"/>
      <c r="J245" s="800">
        <f>'Informations complémentaire'!G78</f>
        <v>0</v>
      </c>
      <c r="K245" s="553"/>
      <c r="L245" s="445"/>
      <c r="M245" s="48"/>
    </row>
    <row r="246" spans="1:14" s="46" customFormat="1" ht="12.75" hidden="1" customHeight="1" outlineLevel="1">
      <c r="A246" s="4"/>
      <c r="B246" s="1542"/>
      <c r="C246" s="13"/>
      <c r="D246" s="1542"/>
      <c r="E246" s="5"/>
      <c r="F246" s="5" t="s">
        <v>513</v>
      </c>
      <c r="G246" s="5" t="s">
        <v>514</v>
      </c>
      <c r="H246" s="10" t="s">
        <v>515</v>
      </c>
      <c r="I246" s="18"/>
      <c r="J246" s="800">
        <f>'Informations complémentaire'!G27</f>
        <v>62500</v>
      </c>
      <c r="K246" s="553"/>
      <c r="L246" s="445"/>
      <c r="M246" s="48"/>
    </row>
    <row r="247" spans="1:14" s="46" customFormat="1" ht="16.5" customHeight="1" collapsed="1">
      <c r="A247" s="4"/>
      <c r="B247" s="1542"/>
      <c r="C247" s="13"/>
      <c r="D247" s="1542"/>
      <c r="E247" s="54" t="s">
        <v>649</v>
      </c>
      <c r="F247" s="5"/>
      <c r="G247" s="5"/>
      <c r="H247" s="10"/>
      <c r="I247" s="18" t="s">
        <v>516</v>
      </c>
      <c r="J247" s="801">
        <f>J244-J245+J246</f>
        <v>377500</v>
      </c>
      <c r="K247" s="553"/>
      <c r="L247" s="445"/>
      <c r="M247" s="48"/>
    </row>
    <row r="248" spans="1:14" s="46" customFormat="1" ht="25.5" customHeight="1">
      <c r="A248" s="4"/>
      <c r="B248" s="1542"/>
      <c r="C248" s="13"/>
      <c r="D248" s="1542"/>
      <c r="E248" s="54" t="s">
        <v>651</v>
      </c>
      <c r="F248" s="5"/>
      <c r="G248" s="5"/>
      <c r="H248" s="10"/>
      <c r="I248" s="19" t="s">
        <v>517</v>
      </c>
      <c r="J248" s="802">
        <f>'Informations complémentaire'!G109</f>
        <v>0</v>
      </c>
      <c r="K248" s="553"/>
      <c r="L248" s="31"/>
      <c r="M248" s="48"/>
    </row>
    <row r="249" spans="1:14" s="46" customFormat="1" ht="12.75" hidden="1" customHeight="1" outlineLevel="1">
      <c r="A249" s="4"/>
      <c r="B249" s="1542"/>
      <c r="C249" s="13"/>
      <c r="D249" s="1542"/>
      <c r="E249" s="7"/>
      <c r="F249" s="65" t="s">
        <v>518</v>
      </c>
      <c r="G249" s="5"/>
      <c r="H249" s="10"/>
      <c r="I249" s="18"/>
      <c r="J249" s="803">
        <f>J251+J250</f>
        <v>3151775</v>
      </c>
      <c r="K249" s="553"/>
      <c r="L249" s="31"/>
      <c r="M249" s="48"/>
    </row>
    <row r="250" spans="1:14" s="46" customFormat="1" ht="12.75" hidden="1" customHeight="1" outlineLevel="1">
      <c r="A250" s="4"/>
      <c r="B250" s="1542"/>
      <c r="C250" s="13"/>
      <c r="D250" s="1542"/>
      <c r="E250" s="5"/>
      <c r="F250" s="5" t="s">
        <v>519</v>
      </c>
      <c r="G250" s="5"/>
      <c r="H250" s="5"/>
      <c r="I250" s="18"/>
      <c r="J250" s="802">
        <f>'Informations complémentaire'!G109</f>
        <v>0</v>
      </c>
      <c r="K250" s="553"/>
      <c r="L250" s="31"/>
      <c r="M250" s="48"/>
    </row>
    <row r="251" spans="1:14" s="46" customFormat="1" ht="20.25" customHeight="1" collapsed="1" thickBot="1">
      <c r="A251" s="4"/>
      <c r="B251" s="1543"/>
      <c r="C251" s="780"/>
      <c r="D251" s="1543"/>
      <c r="E251" s="781" t="s">
        <v>650</v>
      </c>
      <c r="F251" s="765"/>
      <c r="G251" s="765"/>
      <c r="H251" s="586"/>
      <c r="I251" s="782" t="s">
        <v>520</v>
      </c>
      <c r="J251" s="804">
        <f>J235-J240-J243-J247-J248</f>
        <v>3151775</v>
      </c>
      <c r="K251" s="557"/>
      <c r="L251" s="45"/>
      <c r="M251" s="49"/>
    </row>
    <row r="252" spans="1:14" s="55" customFormat="1" ht="15.75" customHeight="1" thickBot="1"/>
    <row r="253" spans="1:14" s="47" customFormat="1" ht="27" customHeight="1" thickBot="1">
      <c r="A253" s="4"/>
      <c r="B253" s="1538" t="s">
        <v>521</v>
      </c>
      <c r="C253" s="1539"/>
      <c r="D253" s="1539"/>
      <c r="E253" s="1539"/>
      <c r="F253" s="1539"/>
      <c r="G253" s="1539"/>
      <c r="H253" s="1539"/>
      <c r="I253" s="1539"/>
      <c r="J253" s="1539"/>
      <c r="K253" s="1539"/>
      <c r="L253" s="1539"/>
      <c r="M253" s="1540"/>
      <c r="N253" s="323"/>
    </row>
    <row r="254" spans="1:14" s="47" customFormat="1" ht="12.75" customHeight="1" thickBot="1">
      <c r="A254" s="4"/>
      <c r="B254" s="4"/>
      <c r="C254" s="4"/>
      <c r="E254" s="551"/>
      <c r="F254" s="551"/>
      <c r="G254" s="4"/>
      <c r="H254" s="4"/>
      <c r="I254" s="4"/>
      <c r="J254" s="4"/>
      <c r="K254" s="4"/>
      <c r="L254" s="4"/>
    </row>
    <row r="255" spans="1:14" s="47" customFormat="1" ht="15.6">
      <c r="A255" s="4"/>
      <c r="B255" s="4"/>
      <c r="C255" s="4"/>
      <c r="D255" s="73"/>
      <c r="E255" s="723"/>
      <c r="F255" s="723"/>
      <c r="G255" s="61" t="s">
        <v>522</v>
      </c>
      <c r="H255" s="61" t="s">
        <v>523</v>
      </c>
      <c r="I255" s="61" t="s">
        <v>196</v>
      </c>
      <c r="J255" s="461" t="s">
        <v>838</v>
      </c>
      <c r="K255" s="461" t="s">
        <v>839</v>
      </c>
      <c r="L255" s="464" t="s">
        <v>795</v>
      </c>
      <c r="M255" s="463" t="s">
        <v>120</v>
      </c>
      <c r="N255" s="323"/>
    </row>
    <row r="256" spans="1:14" s="47" customFormat="1" ht="12.75" hidden="1" customHeight="1" outlineLevel="1">
      <c r="A256" s="4"/>
      <c r="B256" s="4"/>
      <c r="C256" s="4"/>
      <c r="D256" s="1533" t="s">
        <v>524</v>
      </c>
      <c r="E256" s="1534"/>
      <c r="F256" s="1535"/>
      <c r="G256" s="76"/>
      <c r="H256" s="43"/>
      <c r="I256" s="43"/>
      <c r="J256" s="77">
        <f>SIG!J18</f>
        <v>8786000</v>
      </c>
      <c r="K256" s="805"/>
      <c r="L256" s="805"/>
      <c r="M256" s="78"/>
      <c r="N256" s="323"/>
    </row>
    <row r="257" spans="1:14" s="47" customFormat="1" ht="12.75" hidden="1" customHeight="1" outlineLevel="1">
      <c r="A257" s="4"/>
      <c r="B257" s="4"/>
      <c r="C257" s="4"/>
      <c r="D257" s="1004" t="s">
        <v>525</v>
      </c>
      <c r="E257" s="1005"/>
      <c r="F257" s="1006"/>
      <c r="G257" s="31"/>
      <c r="H257" s="31"/>
      <c r="I257" s="31"/>
      <c r="J257" s="75">
        <f>'Informations complémentaire'!G29</f>
        <v>250000</v>
      </c>
      <c r="K257" s="806"/>
      <c r="L257" s="806"/>
      <c r="M257" s="79"/>
      <c r="N257" s="323"/>
    </row>
    <row r="258" spans="1:14" s="47" customFormat="1" ht="12.75" hidden="1" customHeight="1" outlineLevel="1">
      <c r="A258" s="4"/>
      <c r="B258" s="4"/>
      <c r="C258" s="4"/>
      <c r="D258" s="1004" t="s">
        <v>526</v>
      </c>
      <c r="E258" s="1005"/>
      <c r="F258" s="1006"/>
      <c r="G258" s="31"/>
      <c r="H258" s="31"/>
      <c r="I258" s="31"/>
      <c r="J258" s="75">
        <f>'Informations complémentaire'!G73</f>
        <v>120000</v>
      </c>
      <c r="K258" s="806"/>
      <c r="L258" s="806"/>
      <c r="M258" s="79"/>
      <c r="N258" s="323"/>
    </row>
    <row r="259" spans="1:14" s="47" customFormat="1" ht="12.75" hidden="1" customHeight="1" outlineLevel="1">
      <c r="A259" s="4"/>
      <c r="B259" s="4"/>
      <c r="C259" s="4"/>
      <c r="D259" s="1004" t="s">
        <v>527</v>
      </c>
      <c r="E259" s="1005"/>
      <c r="F259" s="1006"/>
      <c r="G259" s="31"/>
      <c r="H259" s="31"/>
      <c r="I259" s="31"/>
      <c r="J259" s="75">
        <f>'Informations complémentaire'!G76</f>
        <v>0</v>
      </c>
      <c r="K259" s="806"/>
      <c r="L259" s="806"/>
      <c r="M259" s="79"/>
      <c r="N259" s="323"/>
    </row>
    <row r="260" spans="1:14" s="47" customFormat="1" ht="30" customHeight="1" collapsed="1" thickBot="1">
      <c r="A260" s="4"/>
      <c r="B260" s="4"/>
      <c r="C260" s="4"/>
      <c r="D260" s="1530" t="s">
        <v>528</v>
      </c>
      <c r="E260" s="1531"/>
      <c r="F260" s="1532"/>
      <c r="G260" s="80"/>
      <c r="H260" s="45"/>
      <c r="I260" s="45"/>
      <c r="J260" s="81">
        <f>J256+J257+J258+J259</f>
        <v>9156000</v>
      </c>
      <c r="K260" s="807"/>
      <c r="L260" s="807"/>
      <c r="M260" s="82"/>
      <c r="N260" s="323"/>
    </row>
    <row r="261" spans="1:14" s="47" customFormat="1" ht="7.5" customHeight="1">
      <c r="A261" s="4"/>
      <c r="B261" s="4"/>
      <c r="C261" s="4"/>
      <c r="D261" s="808"/>
      <c r="E261" s="808"/>
      <c r="F261" s="808"/>
      <c r="G261" s="808"/>
      <c r="H261" s="4"/>
      <c r="I261" s="4"/>
      <c r="J261" s="775"/>
      <c r="K261" s="775"/>
      <c r="L261" s="775"/>
      <c r="M261" s="723"/>
      <c r="N261" s="723"/>
    </row>
    <row r="262" spans="1:14" s="47" customFormat="1" ht="12.75" hidden="1" customHeight="1" outlineLevel="1">
      <c r="A262" s="4"/>
      <c r="B262" s="4"/>
      <c r="C262" s="4"/>
      <c r="D262" s="1533" t="s">
        <v>529</v>
      </c>
      <c r="E262" s="1534"/>
      <c r="F262" s="1535"/>
      <c r="G262" s="76"/>
      <c r="H262" s="43"/>
      <c r="I262" s="43"/>
      <c r="J262" s="77">
        <f>SIG!J24</f>
        <v>3974300</v>
      </c>
      <c r="K262" s="805"/>
      <c r="L262" s="805"/>
      <c r="M262" s="78"/>
      <c r="N262" s="323"/>
    </row>
    <row r="263" spans="1:14" s="47" customFormat="1" ht="12.75" hidden="1" customHeight="1" outlineLevel="1">
      <c r="A263" s="4"/>
      <c r="B263" s="4"/>
      <c r="C263" s="4"/>
      <c r="D263" s="1004" t="s">
        <v>530</v>
      </c>
      <c r="E263" s="1005"/>
      <c r="F263" s="1006"/>
      <c r="G263" s="31"/>
      <c r="H263" s="31"/>
      <c r="I263" s="31"/>
      <c r="J263" s="75">
        <f>'Informations complémentaire'!G79</f>
        <v>0</v>
      </c>
      <c r="K263" s="806"/>
      <c r="L263" s="806"/>
      <c r="M263" s="79"/>
      <c r="N263" s="323"/>
    </row>
    <row r="264" spans="1:14" s="47" customFormat="1" ht="12.75" hidden="1" customHeight="1" outlineLevel="1">
      <c r="A264" s="4"/>
      <c r="B264" s="4"/>
      <c r="C264" s="4"/>
      <c r="D264" s="1004" t="s">
        <v>531</v>
      </c>
      <c r="E264" s="1005"/>
      <c r="F264" s="1006"/>
      <c r="G264" s="31"/>
      <c r="H264" s="31"/>
      <c r="I264" s="31"/>
      <c r="J264" s="75">
        <f>'Informations complémentaire'!G78</f>
        <v>0</v>
      </c>
      <c r="K264" s="806"/>
      <c r="L264" s="806"/>
      <c r="M264" s="79"/>
      <c r="N264" s="323"/>
    </row>
    <row r="265" spans="1:14" s="47" customFormat="1" ht="12.75" hidden="1" customHeight="1" outlineLevel="1">
      <c r="A265" s="4"/>
      <c r="B265" s="4"/>
      <c r="C265" s="4"/>
      <c r="D265" s="1004" t="s">
        <v>532</v>
      </c>
      <c r="E265" s="1005"/>
      <c r="F265" s="1006"/>
      <c r="G265" s="31"/>
      <c r="H265" s="31"/>
      <c r="I265" s="31"/>
      <c r="J265" s="75">
        <f>'Informations complémentaire'!G29</f>
        <v>250000</v>
      </c>
      <c r="K265" s="806"/>
      <c r="L265" s="806"/>
      <c r="M265" s="79"/>
      <c r="N265" s="323"/>
    </row>
    <row r="266" spans="1:14" s="47" customFormat="1" ht="12.75" hidden="1" customHeight="1" outlineLevel="1">
      <c r="A266" s="4"/>
      <c r="B266" s="4"/>
      <c r="C266" s="4"/>
      <c r="D266" s="1004" t="s">
        <v>533</v>
      </c>
      <c r="E266" s="1005"/>
      <c r="F266" s="1006"/>
      <c r="G266" s="31"/>
      <c r="H266" s="31"/>
      <c r="I266" s="31"/>
      <c r="J266" s="75">
        <f>'2052 et 2053 CR par nature'!K14</f>
        <v>0</v>
      </c>
      <c r="K266" s="806"/>
      <c r="L266" s="806"/>
      <c r="M266" s="79"/>
      <c r="N266" s="323"/>
    </row>
    <row r="267" spans="1:14" s="47" customFormat="1" ht="12.75" hidden="1" customHeight="1" outlineLevel="1">
      <c r="A267" s="4"/>
      <c r="B267" s="4"/>
      <c r="C267" s="4"/>
      <c r="D267" s="1004" t="s">
        <v>534</v>
      </c>
      <c r="E267" s="1005"/>
      <c r="F267" s="1006"/>
      <c r="G267" s="31"/>
      <c r="H267" s="31"/>
      <c r="I267" s="31"/>
      <c r="J267" s="75">
        <f>'2052 et 2053 CR par nature'!K28</f>
        <v>0</v>
      </c>
      <c r="K267" s="806"/>
      <c r="L267" s="806"/>
      <c r="M267" s="79"/>
      <c r="N267" s="323"/>
    </row>
    <row r="268" spans="1:14" s="47" customFormat="1" ht="30" customHeight="1" collapsed="1" thickBot="1">
      <c r="A268" s="4"/>
      <c r="B268" s="4"/>
      <c r="C268" s="4"/>
      <c r="D268" s="1530" t="s">
        <v>535</v>
      </c>
      <c r="E268" s="1531"/>
      <c r="F268" s="1532"/>
      <c r="G268" s="80"/>
      <c r="H268" s="45"/>
      <c r="I268" s="45"/>
      <c r="J268" s="81">
        <f>J262+J263-J264+J265+J266-J267</f>
        <v>4224300</v>
      </c>
      <c r="K268" s="807"/>
      <c r="L268" s="807"/>
      <c r="M268" s="82"/>
      <c r="N268" s="323"/>
    </row>
    <row r="269" spans="1:14" s="47" customFormat="1" ht="6.75" customHeight="1">
      <c r="A269" s="4"/>
      <c r="B269" s="4"/>
      <c r="C269" s="4"/>
      <c r="D269" s="808"/>
      <c r="E269" s="808"/>
      <c r="F269" s="808"/>
      <c r="G269" s="808"/>
      <c r="H269" s="4"/>
      <c r="I269" s="4"/>
      <c r="J269" s="775"/>
      <c r="K269" s="775"/>
      <c r="L269" s="775"/>
      <c r="M269" s="723"/>
      <c r="N269" s="723"/>
    </row>
    <row r="270" spans="1:14" s="47" customFormat="1" ht="12.75" hidden="1" customHeight="1" outlineLevel="1">
      <c r="A270" s="4"/>
      <c r="B270" s="4"/>
      <c r="C270" s="4"/>
      <c r="D270" s="1533" t="s">
        <v>536</v>
      </c>
      <c r="E270" s="1534"/>
      <c r="F270" s="1535"/>
      <c r="G270" s="76"/>
      <c r="H270" s="43"/>
      <c r="I270" s="43"/>
      <c r="J270" s="77">
        <f>SIG!J29</f>
        <v>2530300</v>
      </c>
      <c r="K270" s="805"/>
      <c r="L270" s="805"/>
      <c r="M270" s="78"/>
      <c r="N270" s="323"/>
    </row>
    <row r="271" spans="1:14" s="47" customFormat="1" ht="12.75" hidden="1" customHeight="1" outlineLevel="1">
      <c r="A271" s="4"/>
      <c r="B271" s="4"/>
      <c r="C271" s="4"/>
      <c r="D271" s="1004" t="s">
        <v>537</v>
      </c>
      <c r="E271" s="1005"/>
      <c r="F271" s="1006"/>
      <c r="G271" s="31"/>
      <c r="H271" s="31"/>
      <c r="I271" s="31"/>
      <c r="J271" s="75">
        <f>'Informations complémentaire'!G27</f>
        <v>62500</v>
      </c>
      <c r="K271" s="806"/>
      <c r="L271" s="806"/>
      <c r="M271" s="79"/>
      <c r="N271" s="323"/>
    </row>
    <row r="272" spans="1:14" s="47" customFormat="1" ht="12.75" hidden="1" customHeight="1" outlineLevel="1">
      <c r="A272" s="4"/>
      <c r="B272" s="4"/>
      <c r="C272" s="4"/>
      <c r="D272" s="1004" t="s">
        <v>538</v>
      </c>
      <c r="E272" s="1005"/>
      <c r="F272" s="1006"/>
      <c r="G272" s="31"/>
      <c r="H272" s="31"/>
      <c r="I272" s="31"/>
      <c r="J272" s="75">
        <f>'Informations complémentaire'!G79</f>
        <v>0</v>
      </c>
      <c r="K272" s="806"/>
      <c r="L272" s="806"/>
      <c r="M272" s="79"/>
      <c r="N272" s="323"/>
    </row>
    <row r="273" spans="1:14" s="47" customFormat="1" ht="12.75" hidden="1" customHeight="1" outlineLevel="1">
      <c r="A273" s="4"/>
      <c r="B273" s="4"/>
      <c r="C273" s="4"/>
      <c r="D273" s="1004" t="s">
        <v>539</v>
      </c>
      <c r="E273" s="1005"/>
      <c r="F273" s="1006"/>
      <c r="G273" s="31"/>
      <c r="H273" s="31"/>
      <c r="I273" s="31"/>
      <c r="J273" s="75">
        <f>'Informations complémentaire'!G78</f>
        <v>0</v>
      </c>
      <c r="K273" s="806"/>
      <c r="L273" s="806"/>
      <c r="M273" s="79"/>
      <c r="N273" s="323"/>
    </row>
    <row r="274" spans="1:14" s="47" customFormat="1" ht="30" customHeight="1" collapsed="1" thickBot="1">
      <c r="A274" s="4"/>
      <c r="B274" s="4"/>
      <c r="C274" s="4"/>
      <c r="D274" s="1530" t="s">
        <v>540</v>
      </c>
      <c r="E274" s="1531"/>
      <c r="F274" s="1532"/>
      <c r="G274" s="80"/>
      <c r="H274" s="45"/>
      <c r="I274" s="45"/>
      <c r="J274" s="81">
        <f>J270+J271+J272-J273</f>
        <v>2592800</v>
      </c>
      <c r="K274" s="807"/>
      <c r="L274" s="807"/>
      <c r="M274" s="82"/>
      <c r="N274" s="323"/>
    </row>
  </sheetData>
  <mergeCells count="81">
    <mergeCell ref="D170:F170"/>
    <mergeCell ref="D181:F181"/>
    <mergeCell ref="I142:I147"/>
    <mergeCell ref="D51:F51"/>
    <mergeCell ref="D55:F55"/>
    <mergeCell ref="D65:F65"/>
    <mergeCell ref="D77:F77"/>
    <mergeCell ref="D140:F140"/>
    <mergeCell ref="D9:F9"/>
    <mergeCell ref="D7:F7"/>
    <mergeCell ref="B2:M2"/>
    <mergeCell ref="B45:M45"/>
    <mergeCell ref="D8:F8"/>
    <mergeCell ref="D12:F12"/>
    <mergeCell ref="D18:F18"/>
    <mergeCell ref="D24:F24"/>
    <mergeCell ref="D29:F29"/>
    <mergeCell ref="D34:F34"/>
    <mergeCell ref="D37:F37"/>
    <mergeCell ref="D40:F40"/>
    <mergeCell ref="D41:F41"/>
    <mergeCell ref="D42:F42"/>
    <mergeCell ref="D38:F38"/>
    <mergeCell ref="D39:F39"/>
    <mergeCell ref="D273:F273"/>
    <mergeCell ref="D260:F260"/>
    <mergeCell ref="D262:F262"/>
    <mergeCell ref="D268:F268"/>
    <mergeCell ref="D267:F267"/>
    <mergeCell ref="D266:F266"/>
    <mergeCell ref="D265:F265"/>
    <mergeCell ref="D264:F264"/>
    <mergeCell ref="D263:F263"/>
    <mergeCell ref="D259:F259"/>
    <mergeCell ref="D35:F35"/>
    <mergeCell ref="D36:F36"/>
    <mergeCell ref="D271:F271"/>
    <mergeCell ref="D272:F272"/>
    <mergeCell ref="B253:M253"/>
    <mergeCell ref="D256:F256"/>
    <mergeCell ref="D257:F257"/>
    <mergeCell ref="B194:B251"/>
    <mergeCell ref="D236:D251"/>
    <mergeCell ref="I99:I100"/>
    <mergeCell ref="B142:B192"/>
    <mergeCell ref="I62:I63"/>
    <mergeCell ref="I93:I98"/>
    <mergeCell ref="B48:B140"/>
    <mergeCell ref="I56:I61"/>
    <mergeCell ref="D43:F43"/>
    <mergeCell ref="D274:F274"/>
    <mergeCell ref="E14:F14"/>
    <mergeCell ref="D17:F17"/>
    <mergeCell ref="E21:F21"/>
    <mergeCell ref="D20:F20"/>
    <mergeCell ref="D19:F19"/>
    <mergeCell ref="E16:F16"/>
    <mergeCell ref="E15:F15"/>
    <mergeCell ref="D27:F27"/>
    <mergeCell ref="D26:F26"/>
    <mergeCell ref="D25:F25"/>
    <mergeCell ref="D23:F23"/>
    <mergeCell ref="E22:F22"/>
    <mergeCell ref="D258:F258"/>
    <mergeCell ref="D270:F270"/>
    <mergeCell ref="D188:F188"/>
    <mergeCell ref="D192:F192"/>
    <mergeCell ref="D235:F235"/>
    <mergeCell ref="D6:F6"/>
    <mergeCell ref="D5:F5"/>
    <mergeCell ref="D134:F134"/>
    <mergeCell ref="D106:F106"/>
    <mergeCell ref="D80:F80"/>
    <mergeCell ref="D13:F13"/>
    <mergeCell ref="D11:F11"/>
    <mergeCell ref="D10:F10"/>
    <mergeCell ref="D30:F30"/>
    <mergeCell ref="D31:F31"/>
    <mergeCell ref="D32:F32"/>
    <mergeCell ref="D33:F33"/>
    <mergeCell ref="D28:F28"/>
  </mergeCells>
  <hyperlinks>
    <hyperlink ref="A1" location="Sommaire!A1" display="Sommaire"/>
  </hyperlink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sheetPr codeName="Feuil14">
    <tabColor theme="8" tint="-0.249977111117893"/>
    <outlinePr summaryRight="0"/>
  </sheetPr>
  <dimension ref="A1:K60"/>
  <sheetViews>
    <sheetView showGridLines="0" zoomScale="90" zoomScaleNormal="90" workbookViewId="0">
      <pane ySplit="1" topLeftCell="A2" activePane="bottomLeft" state="frozen"/>
      <selection activeCell="A3" sqref="A3"/>
      <selection pane="bottomLeft"/>
    </sheetView>
  </sheetViews>
  <sheetFormatPr baseColWidth="10" defaultColWidth="17.33203125" defaultRowHeight="15.75" customHeight="1" outlineLevelRow="2" outlineLevelCol="1"/>
  <cols>
    <col min="1" max="1" width="5.44140625" style="86" customWidth="1"/>
    <col min="2" max="2" width="8.33203125" style="86" customWidth="1"/>
    <col min="3" max="3" width="6.88671875" style="86" customWidth="1"/>
    <col min="4" max="4" width="54.88671875" style="86" customWidth="1" collapsed="1"/>
    <col min="5" max="5" width="44.44140625" style="86" hidden="1" customWidth="1" outlineLevel="1"/>
    <col min="6" max="6" width="25.109375" style="86" hidden="1" customWidth="1" outlineLevel="1"/>
    <col min="7" max="7" width="19.33203125" style="86" hidden="1" customWidth="1" outlineLevel="1"/>
    <col min="8" max="8" width="16" style="86" customWidth="1"/>
    <col min="9" max="9" width="16" style="551" customWidth="1"/>
    <col min="10" max="10" width="47.109375" style="86" customWidth="1"/>
    <col min="11" max="16384" width="17.33203125" style="86"/>
  </cols>
  <sheetData>
    <row r="1" spans="1:11" ht="12.75" customHeight="1" thickBot="1">
      <c r="A1" s="981" t="s">
        <v>2015</v>
      </c>
      <c r="B1" s="4"/>
      <c r="C1" s="4"/>
      <c r="D1" s="4"/>
      <c r="E1" s="4"/>
      <c r="F1" s="4"/>
      <c r="G1" s="4"/>
      <c r="H1" s="73"/>
      <c r="I1" s="832"/>
      <c r="J1" s="73"/>
    </row>
    <row r="2" spans="1:11" ht="24.75" customHeight="1" thickBot="1">
      <c r="A2" s="4"/>
      <c r="B2" s="1575" t="s">
        <v>1966</v>
      </c>
      <c r="C2" s="1576"/>
      <c r="D2" s="1576"/>
      <c r="E2" s="1576"/>
      <c r="F2" s="1576"/>
      <c r="G2" s="1576"/>
      <c r="H2" s="1576"/>
      <c r="I2" s="1576"/>
      <c r="J2" s="1577"/>
      <c r="K2" s="323"/>
    </row>
    <row r="3" spans="1:11" ht="9" customHeight="1" thickBot="1">
      <c r="A3" s="4"/>
      <c r="B3" s="4"/>
      <c r="C3" s="4"/>
      <c r="D3" s="4"/>
      <c r="E3" s="4"/>
      <c r="F3" s="4"/>
      <c r="G3" s="4"/>
      <c r="H3" s="4"/>
      <c r="I3" s="4"/>
      <c r="J3" s="4"/>
      <c r="K3" s="4"/>
    </row>
    <row r="4" spans="1:11" ht="16.2" thickBot="1">
      <c r="A4" s="4"/>
      <c r="B4" s="23"/>
      <c r="C4" s="108"/>
      <c r="D4" s="109"/>
      <c r="E4" s="103" t="s">
        <v>541</v>
      </c>
      <c r="F4" s="103" t="s">
        <v>542</v>
      </c>
      <c r="G4" s="104" t="s">
        <v>543</v>
      </c>
      <c r="H4" s="490">
        <f>'Informations complémentaire'!D8</f>
        <v>2012</v>
      </c>
      <c r="I4" s="464">
        <f>IFERROR('Informations complémentaire'!D8-1,'Informations complémentaire'!D8&amp;" - 1")</f>
        <v>2011</v>
      </c>
      <c r="J4" s="105" t="s">
        <v>120</v>
      </c>
      <c r="K4" s="323"/>
    </row>
    <row r="5" spans="1:11" ht="12.75" hidden="1" customHeight="1" outlineLevel="1">
      <c r="A5" s="4"/>
      <c r="B5" s="1578" t="s">
        <v>664</v>
      </c>
      <c r="C5" s="43" t="s">
        <v>544</v>
      </c>
      <c r="D5" s="43"/>
      <c r="E5" s="43"/>
      <c r="F5" s="41"/>
      <c r="G5" s="43"/>
      <c r="H5" s="106">
        <f>'2052 et 2053 CR par nature'!K60</f>
        <v>1520275</v>
      </c>
      <c r="I5" s="854"/>
      <c r="J5" s="78"/>
      <c r="K5" s="323"/>
    </row>
    <row r="6" spans="1:11" ht="12.75" hidden="1" customHeight="1" outlineLevel="1">
      <c r="A6" s="4"/>
      <c r="B6" s="1579"/>
      <c r="C6" s="31" t="s">
        <v>545</v>
      </c>
      <c r="D6" s="31"/>
      <c r="E6" s="31" t="s">
        <v>546</v>
      </c>
      <c r="F6" s="32">
        <v>681</v>
      </c>
      <c r="G6" s="31"/>
      <c r="H6" s="75">
        <f>'2052 et 2053 CR par nature'!K24+'2052 et 2053 CR par nature'!K25+'2052 et 2053 CR par nature'!K26+'2052 et 2053 CR par nature'!K27</f>
        <v>1444000</v>
      </c>
      <c r="I6" s="806"/>
      <c r="J6" s="79"/>
      <c r="K6" s="323"/>
    </row>
    <row r="7" spans="1:11" ht="12.75" hidden="1" customHeight="1" outlineLevel="1">
      <c r="A7" s="4"/>
      <c r="B7" s="1579"/>
      <c r="C7" s="31" t="s">
        <v>547</v>
      </c>
      <c r="D7" s="31"/>
      <c r="E7" s="31" t="s">
        <v>548</v>
      </c>
      <c r="F7" s="32">
        <v>686</v>
      </c>
      <c r="G7" s="31"/>
      <c r="H7" s="75">
        <f>'2052 et 2053 CR par nature'!K40</f>
        <v>0</v>
      </c>
      <c r="I7" s="806"/>
      <c r="J7" s="79"/>
      <c r="K7" s="323"/>
    </row>
    <row r="8" spans="1:11" ht="12.75" hidden="1" customHeight="1" outlineLevel="1">
      <c r="A8" s="4"/>
      <c r="B8" s="1579"/>
      <c r="C8" s="31" t="s">
        <v>549</v>
      </c>
      <c r="D8" s="31"/>
      <c r="E8" s="31" t="s">
        <v>550</v>
      </c>
      <c r="F8" s="32">
        <v>687</v>
      </c>
      <c r="G8" s="31"/>
      <c r="H8" s="75">
        <f>'2052 et 2053 CR par nature'!K53</f>
        <v>0</v>
      </c>
      <c r="I8" s="806"/>
      <c r="J8" s="79"/>
      <c r="K8" s="323"/>
    </row>
    <row r="9" spans="1:11" ht="12.75" hidden="1" customHeight="1" outlineLevel="1">
      <c r="A9" s="4"/>
      <c r="B9" s="1579"/>
      <c r="C9" s="31" t="s">
        <v>551</v>
      </c>
      <c r="D9" s="31"/>
      <c r="E9" s="31" t="s">
        <v>552</v>
      </c>
      <c r="F9" s="32">
        <v>781</v>
      </c>
      <c r="G9" s="31"/>
      <c r="H9" s="75">
        <f>'2052 et 2053 CR par nature'!K13-'Informations complémentaire'!G64</f>
        <v>0</v>
      </c>
      <c r="I9" s="806"/>
      <c r="J9" s="79"/>
      <c r="K9" s="323"/>
    </row>
    <row r="10" spans="1:11" ht="12.75" hidden="1" customHeight="1" outlineLevel="1">
      <c r="A10" s="4"/>
      <c r="B10" s="1579"/>
      <c r="C10" s="31" t="s">
        <v>553</v>
      </c>
      <c r="D10" s="31"/>
      <c r="E10" s="31" t="s">
        <v>554</v>
      </c>
      <c r="F10" s="32">
        <v>786</v>
      </c>
      <c r="G10" s="31"/>
      <c r="H10" s="75">
        <f>'2052 et 2053 CR par nature'!K36-'Informations complémentaire'!G70</f>
        <v>0</v>
      </c>
      <c r="I10" s="806"/>
      <c r="J10" s="79"/>
      <c r="K10" s="323"/>
    </row>
    <row r="11" spans="1:11" ht="12.75" hidden="1" customHeight="1" outlineLevel="1">
      <c r="A11" s="4"/>
      <c r="B11" s="1579"/>
      <c r="C11" s="31" t="s">
        <v>555</v>
      </c>
      <c r="D11" s="31"/>
      <c r="E11" s="31" t="s">
        <v>556</v>
      </c>
      <c r="F11" s="32">
        <v>787</v>
      </c>
      <c r="G11" s="31"/>
      <c r="H11" s="75">
        <f>'2052 et 2053 CR par nature'!K49-'Informations complémentaire'!G71</f>
        <v>0</v>
      </c>
      <c r="I11" s="806"/>
      <c r="J11" s="79"/>
      <c r="K11" s="323"/>
    </row>
    <row r="12" spans="1:11" ht="12.75" hidden="1" customHeight="1" outlineLevel="1">
      <c r="A12" s="4"/>
      <c r="B12" s="1579"/>
      <c r="C12" s="31" t="s">
        <v>557</v>
      </c>
      <c r="D12" s="31"/>
      <c r="E12" s="31" t="s">
        <v>558</v>
      </c>
      <c r="F12" s="32">
        <v>675</v>
      </c>
      <c r="G12" s="31"/>
      <c r="H12" s="75">
        <f>'2052 et 2053 CR par nature'!K77</f>
        <v>0</v>
      </c>
      <c r="I12" s="806"/>
      <c r="J12" s="79"/>
      <c r="K12" s="323"/>
    </row>
    <row r="13" spans="1:11" ht="12.75" hidden="1" customHeight="1" outlineLevel="1">
      <c r="A13" s="4"/>
      <c r="B13" s="1579"/>
      <c r="C13" s="31" t="s">
        <v>559</v>
      </c>
      <c r="D13" s="31"/>
      <c r="E13" s="31" t="s">
        <v>560</v>
      </c>
      <c r="F13" s="32">
        <v>775</v>
      </c>
      <c r="G13" s="31"/>
      <c r="H13" s="75">
        <f>'2052 et 2053 CR par nature'!L76</f>
        <v>0</v>
      </c>
      <c r="I13" s="806"/>
      <c r="J13" s="79"/>
      <c r="K13" s="323"/>
    </row>
    <row r="14" spans="1:11" ht="12.75" hidden="1" customHeight="1" outlineLevel="1">
      <c r="A14" s="4"/>
      <c r="B14" s="1579"/>
      <c r="C14" s="31" t="s">
        <v>561</v>
      </c>
      <c r="D14" s="31"/>
      <c r="E14" s="31" t="s">
        <v>562</v>
      </c>
      <c r="F14" s="32">
        <v>777</v>
      </c>
      <c r="G14" s="31"/>
      <c r="H14" s="75">
        <f>'2052 et 2053 CR par nature'!L78</f>
        <v>0</v>
      </c>
      <c r="I14" s="806"/>
      <c r="J14" s="79"/>
      <c r="K14" s="323"/>
    </row>
    <row r="15" spans="1:11" ht="61.5" customHeight="1" collapsed="1" thickBot="1">
      <c r="A15" s="4"/>
      <c r="B15" s="1580"/>
      <c r="C15" s="96" t="s">
        <v>563</v>
      </c>
      <c r="D15" s="96"/>
      <c r="E15" s="45"/>
      <c r="F15" s="44"/>
      <c r="G15" s="45"/>
      <c r="H15" s="81">
        <f>H5+H6+H7+H8-H9-H10-H11+H12-H13-H14</f>
        <v>2964275</v>
      </c>
      <c r="I15" s="807"/>
      <c r="J15" s="82"/>
      <c r="K15" s="323"/>
    </row>
    <row r="16" spans="1:11" ht="12.75" hidden="1" customHeight="1" outlineLevel="2">
      <c r="A16" s="4"/>
      <c r="B16" s="1583" t="s">
        <v>665</v>
      </c>
      <c r="C16" s="133"/>
      <c r="D16" s="31" t="s">
        <v>564</v>
      </c>
      <c r="E16" s="32" t="s">
        <v>565</v>
      </c>
      <c r="F16" s="34"/>
      <c r="G16" s="31"/>
      <c r="H16" s="75">
        <f>'2052 et 2053 CR par nature'!K6</f>
        <v>550000</v>
      </c>
      <c r="I16" s="806"/>
      <c r="J16" s="79"/>
      <c r="K16" s="323"/>
    </row>
    <row r="17" spans="1:11" ht="12.75" hidden="1" customHeight="1" outlineLevel="2">
      <c r="A17" s="4"/>
      <c r="B17" s="1584"/>
      <c r="C17" s="133"/>
      <c r="D17" s="31" t="s">
        <v>566</v>
      </c>
      <c r="E17" s="32" t="s">
        <v>567</v>
      </c>
      <c r="F17" s="34"/>
      <c r="G17" s="31"/>
      <c r="H17" s="75">
        <f>'2052 et 2053 CR par nature'!K16</f>
        <v>250000</v>
      </c>
      <c r="I17" s="806"/>
      <c r="J17" s="79"/>
      <c r="K17" s="323"/>
    </row>
    <row r="18" spans="1:11" ht="12.75" hidden="1" customHeight="1" outlineLevel="2">
      <c r="A18" s="4"/>
      <c r="B18" s="1584"/>
      <c r="C18" s="133"/>
      <c r="D18" s="31" t="s">
        <v>568</v>
      </c>
      <c r="E18" s="32" t="s">
        <v>569</v>
      </c>
      <c r="F18" s="34"/>
      <c r="G18" s="31"/>
      <c r="H18" s="75">
        <f>'2052 et 2053 CR par nature'!K17</f>
        <v>-367000</v>
      </c>
      <c r="I18" s="806"/>
      <c r="J18" s="79"/>
      <c r="K18" s="323"/>
    </row>
    <row r="19" spans="1:11" ht="12.75" hidden="1" customHeight="1" outlineLevel="2">
      <c r="A19" s="4"/>
      <c r="B19" s="1584"/>
      <c r="C19" s="133"/>
      <c r="D19" s="31" t="s">
        <v>570</v>
      </c>
      <c r="E19" s="32" t="s">
        <v>571</v>
      </c>
      <c r="F19" s="34"/>
      <c r="G19" s="31"/>
      <c r="H19" s="75">
        <f>'2052 et 2053 CR par nature'!K7+'2052 et 2053 CR par nature'!K8</f>
        <v>20557000</v>
      </c>
      <c r="I19" s="806"/>
      <c r="J19" s="79"/>
      <c r="K19" s="323"/>
    </row>
    <row r="20" spans="1:11" ht="12.75" hidden="1" customHeight="1" outlineLevel="2">
      <c r="A20" s="4"/>
      <c r="B20" s="1584"/>
      <c r="C20" s="133"/>
      <c r="D20" s="31" t="s">
        <v>572</v>
      </c>
      <c r="E20" s="32" t="s">
        <v>573</v>
      </c>
      <c r="F20" s="34"/>
      <c r="G20" s="31"/>
      <c r="H20" s="75">
        <f>'2052 et 2053 CR par nature'!K11</f>
        <v>125000</v>
      </c>
      <c r="I20" s="806"/>
      <c r="J20" s="79"/>
      <c r="K20" s="323"/>
    </row>
    <row r="21" spans="1:11" ht="12.75" hidden="1" customHeight="1" outlineLevel="2">
      <c r="A21" s="4"/>
      <c r="B21" s="1584"/>
      <c r="C21" s="133"/>
      <c r="D21" s="31" t="s">
        <v>574</v>
      </c>
      <c r="E21" s="32" t="s">
        <v>575</v>
      </c>
      <c r="F21" s="34"/>
      <c r="G21" s="31"/>
      <c r="H21" s="75">
        <f>'2052 et 2053 CR par nature'!K10</f>
        <v>-78000</v>
      </c>
      <c r="I21" s="806"/>
      <c r="J21" s="79"/>
      <c r="K21" s="323"/>
    </row>
    <row r="22" spans="1:11" ht="12.75" hidden="1" customHeight="1" outlineLevel="2">
      <c r="A22" s="4"/>
      <c r="B22" s="1584"/>
      <c r="C22" s="133"/>
      <c r="D22" s="31" t="s">
        <v>576</v>
      </c>
      <c r="E22" s="32" t="s">
        <v>577</v>
      </c>
      <c r="F22" s="34"/>
      <c r="G22" s="31"/>
      <c r="H22" s="75">
        <f>'2052 et 2053 CR par nature'!K18</f>
        <v>6450000</v>
      </c>
      <c r="I22" s="806"/>
      <c r="J22" s="79"/>
      <c r="K22" s="323"/>
    </row>
    <row r="23" spans="1:11" ht="12.75" hidden="1" customHeight="1" outlineLevel="2">
      <c r="A23" s="4"/>
      <c r="B23" s="1584"/>
      <c r="C23" s="133"/>
      <c r="D23" s="31" t="s">
        <v>578</v>
      </c>
      <c r="E23" s="32" t="s">
        <v>579</v>
      </c>
      <c r="F23" s="34"/>
      <c r="G23" s="31"/>
      <c r="H23" s="75">
        <f>'2052 et 2053 CR par nature'!K19</f>
        <v>35000</v>
      </c>
      <c r="I23" s="806"/>
      <c r="J23" s="79"/>
      <c r="K23" s="323"/>
    </row>
    <row r="24" spans="1:11" ht="12.75" hidden="1" customHeight="1" outlineLevel="2">
      <c r="A24" s="4"/>
      <c r="B24" s="1584"/>
      <c r="C24" s="133"/>
      <c r="D24" s="31" t="s">
        <v>580</v>
      </c>
      <c r="E24" s="32" t="s">
        <v>581</v>
      </c>
      <c r="F24" s="34"/>
      <c r="G24" s="31"/>
      <c r="H24" s="75">
        <f>'2052 et 2053 CR par nature'!K20</f>
        <v>6000000</v>
      </c>
      <c r="I24" s="806"/>
      <c r="J24" s="79"/>
      <c r="K24" s="323"/>
    </row>
    <row r="25" spans="1:11" ht="12.75" hidden="1" customHeight="1" outlineLevel="2">
      <c r="A25" s="4"/>
      <c r="B25" s="1584"/>
      <c r="C25" s="133"/>
      <c r="D25" s="31" t="s">
        <v>582</v>
      </c>
      <c r="E25" s="32" t="s">
        <v>583</v>
      </c>
      <c r="F25" s="34"/>
      <c r="G25" s="31"/>
      <c r="H25" s="75">
        <f>'2052 et 2053 CR par nature'!K12</f>
        <v>0</v>
      </c>
      <c r="I25" s="806"/>
      <c r="J25" s="79"/>
      <c r="K25" s="323"/>
    </row>
    <row r="26" spans="1:11" ht="12.75" hidden="1" customHeight="1" outlineLevel="2">
      <c r="A26" s="4"/>
      <c r="B26" s="1584"/>
      <c r="C26" s="133"/>
      <c r="D26" s="31" t="s">
        <v>584</v>
      </c>
      <c r="E26" s="32" t="s">
        <v>585</v>
      </c>
      <c r="F26" s="34"/>
      <c r="G26" s="31"/>
      <c r="H26" s="75">
        <f>'2052 et 2053 CR par nature'!K21</f>
        <v>685000</v>
      </c>
      <c r="I26" s="806"/>
      <c r="J26" s="79"/>
      <c r="K26" s="323"/>
    </row>
    <row r="27" spans="1:11" ht="12.75" hidden="1" customHeight="1" outlineLevel="2">
      <c r="A27" s="4"/>
      <c r="B27" s="1584"/>
      <c r="C27" s="133"/>
      <c r="D27" s="31" t="s">
        <v>586</v>
      </c>
      <c r="E27" s="32" t="s">
        <v>587</v>
      </c>
      <c r="F27" s="34"/>
      <c r="G27" s="31"/>
      <c r="H27" s="75">
        <f>'2052 et 2053 CR par nature'!K22</f>
        <v>2846000</v>
      </c>
      <c r="I27" s="806"/>
      <c r="J27" s="79"/>
      <c r="K27" s="323"/>
    </row>
    <row r="28" spans="1:11" ht="12.75" hidden="1" customHeight="1" outlineLevel="2" thickBot="1">
      <c r="A28" s="4"/>
      <c r="B28" s="1584"/>
      <c r="C28" s="149"/>
      <c r="D28" s="98" t="s">
        <v>588</v>
      </c>
      <c r="E28" s="99" t="s">
        <v>589</v>
      </c>
      <c r="F28" s="100"/>
      <c r="G28" s="98"/>
      <c r="H28" s="101">
        <f>'2052 et 2053 CR par nature'!K23</f>
        <v>1280700</v>
      </c>
      <c r="I28" s="855"/>
      <c r="J28" s="102"/>
      <c r="K28" s="323"/>
    </row>
    <row r="29" spans="1:11" ht="25.5" hidden="1" customHeight="1" outlineLevel="1" collapsed="1">
      <c r="A29" s="4"/>
      <c r="B29" s="1584"/>
      <c r="C29" s="151" t="s">
        <v>529</v>
      </c>
      <c r="D29" s="43"/>
      <c r="E29" s="41"/>
      <c r="F29" s="63"/>
      <c r="G29" s="43"/>
      <c r="H29" s="77">
        <f>H16-H17-H18+H19+H20+H21-H22-H23-H24+H25-H26-H27-H28</f>
        <v>3974300</v>
      </c>
      <c r="I29" s="805"/>
      <c r="J29" s="78"/>
      <c r="K29" s="323"/>
    </row>
    <row r="30" spans="1:11" ht="12.75" hidden="1" customHeight="1" outlineLevel="1">
      <c r="A30" s="4"/>
      <c r="B30" s="1584"/>
      <c r="C30" s="133" t="s">
        <v>590</v>
      </c>
      <c r="D30" s="31"/>
      <c r="E30" s="31"/>
      <c r="F30" s="32">
        <v>791</v>
      </c>
      <c r="G30" s="31"/>
      <c r="H30" s="75">
        <f>'Informations complémentaire'!G64</f>
        <v>0</v>
      </c>
      <c r="I30" s="806"/>
      <c r="J30" s="79"/>
      <c r="K30" s="323"/>
    </row>
    <row r="31" spans="1:11" ht="12.75" hidden="1" customHeight="1" outlineLevel="1">
      <c r="A31" s="4"/>
      <c r="B31" s="1584"/>
      <c r="C31" s="133" t="s">
        <v>591</v>
      </c>
      <c r="D31" s="31"/>
      <c r="E31" s="31"/>
      <c r="F31" s="32" t="s">
        <v>592</v>
      </c>
      <c r="G31" s="31"/>
      <c r="H31" s="75">
        <f>'2052 et 2053 CR par nature'!K14</f>
        <v>0</v>
      </c>
      <c r="I31" s="806"/>
      <c r="J31" s="79"/>
      <c r="K31" s="323"/>
    </row>
    <row r="32" spans="1:11" ht="12.75" hidden="1" customHeight="1" outlineLevel="1">
      <c r="A32" s="4"/>
      <c r="B32" s="1584"/>
      <c r="C32" s="133" t="s">
        <v>593</v>
      </c>
      <c r="D32" s="31"/>
      <c r="E32" s="31"/>
      <c r="F32" s="32" t="s">
        <v>594</v>
      </c>
      <c r="G32" s="31"/>
      <c r="H32" s="75">
        <f>'2052 et 2053 CR par nature'!K28</f>
        <v>0</v>
      </c>
      <c r="I32" s="806"/>
      <c r="J32" s="79"/>
      <c r="K32" s="323"/>
    </row>
    <row r="33" spans="1:11" ht="12.75" hidden="1" customHeight="1" outlineLevel="1">
      <c r="A33" s="4"/>
      <c r="B33" s="1584"/>
      <c r="C33" s="133" t="s">
        <v>595</v>
      </c>
      <c r="D33" s="31"/>
      <c r="E33" s="31"/>
      <c r="F33" s="32">
        <v>755</v>
      </c>
      <c r="G33" s="31"/>
      <c r="H33" s="75">
        <f>'2052 et 2053 CR par nature'!K31</f>
        <v>0</v>
      </c>
      <c r="I33" s="806"/>
      <c r="J33" s="79"/>
      <c r="K33" s="323"/>
    </row>
    <row r="34" spans="1:11" ht="12.75" hidden="1" customHeight="1" outlineLevel="1">
      <c r="A34" s="4"/>
      <c r="B34" s="1584"/>
      <c r="C34" s="133" t="s">
        <v>596</v>
      </c>
      <c r="D34" s="31"/>
      <c r="E34" s="31"/>
      <c r="F34" s="32">
        <v>655</v>
      </c>
      <c r="G34" s="31"/>
      <c r="H34" s="75">
        <f>'2052 et 2053 CR par nature'!K32</f>
        <v>0</v>
      </c>
      <c r="I34" s="806"/>
      <c r="J34" s="79"/>
      <c r="K34" s="323"/>
    </row>
    <row r="35" spans="1:11" ht="12.75" hidden="1" customHeight="1" outlineLevel="2">
      <c r="A35" s="4"/>
      <c r="B35" s="1584"/>
      <c r="C35" s="133"/>
      <c r="D35" s="38" t="s">
        <v>661</v>
      </c>
      <c r="E35" s="31"/>
      <c r="F35" s="32"/>
      <c r="G35" s="31"/>
      <c r="H35" s="75">
        <f>'2052 et 2053 CR par nature'!K39</f>
        <v>0</v>
      </c>
      <c r="I35" s="806"/>
      <c r="J35" s="79"/>
      <c r="K35" s="323"/>
    </row>
    <row r="36" spans="1:11" ht="12.75" hidden="1" customHeight="1" outlineLevel="2">
      <c r="A36" s="4"/>
      <c r="B36" s="1584"/>
      <c r="C36" s="133"/>
      <c r="D36" s="39" t="s">
        <v>400</v>
      </c>
      <c r="E36" s="31"/>
      <c r="F36" s="32"/>
      <c r="G36" s="31"/>
      <c r="H36" s="75">
        <f>'2052 et 2053 CR par nature'!K36-'Informations complémentaire'!G70</f>
        <v>0</v>
      </c>
      <c r="I36" s="806"/>
      <c r="J36" s="79"/>
      <c r="K36" s="323"/>
    </row>
    <row r="37" spans="1:11" ht="25.5" hidden="1" customHeight="1" outlineLevel="1" collapsed="1">
      <c r="A37" s="4"/>
      <c r="B37" s="1584"/>
      <c r="C37" s="133" t="s">
        <v>597</v>
      </c>
      <c r="D37" s="31"/>
      <c r="E37" s="31"/>
      <c r="F37" s="32" t="s">
        <v>598</v>
      </c>
      <c r="G37" s="33" t="s">
        <v>1962</v>
      </c>
      <c r="H37" s="97">
        <f>H35-H36</f>
        <v>0</v>
      </c>
      <c r="I37" s="856"/>
      <c r="J37" s="79"/>
      <c r="K37" s="323"/>
    </row>
    <row r="38" spans="1:11" ht="12.75" hidden="1" customHeight="1" outlineLevel="2">
      <c r="A38" s="4"/>
      <c r="B38" s="1584"/>
      <c r="C38" s="133"/>
      <c r="D38" s="38" t="s">
        <v>662</v>
      </c>
      <c r="E38" s="31"/>
      <c r="F38" s="32"/>
      <c r="G38" s="37"/>
      <c r="H38" s="75">
        <f>'2052 et 2053 CR par nature'!K44</f>
        <v>315000</v>
      </c>
      <c r="I38" s="806"/>
      <c r="J38" s="79"/>
      <c r="K38" s="323"/>
    </row>
    <row r="39" spans="1:11" ht="12.75" hidden="1" customHeight="1" outlineLevel="2">
      <c r="A39" s="4"/>
      <c r="B39" s="1584"/>
      <c r="C39" s="133"/>
      <c r="D39" s="39" t="s">
        <v>663</v>
      </c>
      <c r="E39" s="31"/>
      <c r="F39" s="32"/>
      <c r="G39" s="37"/>
      <c r="H39" s="75">
        <f>'2052 et 2053 CR par nature'!K40</f>
        <v>0</v>
      </c>
      <c r="I39" s="806"/>
      <c r="J39" s="79"/>
      <c r="K39" s="323"/>
    </row>
    <row r="40" spans="1:11" ht="12.75" hidden="1" customHeight="1" outlineLevel="1" collapsed="1">
      <c r="A40" s="4"/>
      <c r="B40" s="1584"/>
      <c r="C40" s="133" t="s">
        <v>599</v>
      </c>
      <c r="D40" s="31"/>
      <c r="E40" s="31"/>
      <c r="F40" s="32">
        <v>66</v>
      </c>
      <c r="G40" s="31"/>
      <c r="H40" s="97">
        <f>H38-H39</f>
        <v>315000</v>
      </c>
      <c r="I40" s="856"/>
      <c r="J40" s="79"/>
      <c r="K40" s="323"/>
    </row>
    <row r="41" spans="1:11" ht="13.5" hidden="1" customHeight="1" outlineLevel="2">
      <c r="A41" s="4"/>
      <c r="B41" s="1584"/>
      <c r="C41" s="133"/>
      <c r="D41" s="31" t="s">
        <v>601</v>
      </c>
      <c r="E41" s="31" t="s">
        <v>602</v>
      </c>
      <c r="F41" s="32" t="s">
        <v>603</v>
      </c>
      <c r="G41" s="31"/>
      <c r="H41" s="75">
        <f>'2052 et 2053 CR par nature'!K47</f>
        <v>30000</v>
      </c>
      <c r="I41" s="806"/>
      <c r="J41" s="79"/>
      <c r="K41" s="323"/>
    </row>
    <row r="42" spans="1:11" ht="13.5" hidden="1" customHeight="1" outlineLevel="2">
      <c r="A42" s="4"/>
      <c r="B42" s="1584"/>
      <c r="C42" s="133"/>
      <c r="D42" s="38" t="s">
        <v>1310</v>
      </c>
      <c r="E42" s="31" t="s">
        <v>604</v>
      </c>
      <c r="F42" s="32">
        <v>778</v>
      </c>
      <c r="G42" s="31"/>
      <c r="H42" s="75">
        <f>'2052 et 2053 CR par nature'!K48-'2052 et 2053 CR par nature'!L76-'2052 et 2053 CR par nature'!L78</f>
        <v>425000</v>
      </c>
      <c r="I42" s="806"/>
      <c r="J42" s="79"/>
      <c r="K42" s="323"/>
    </row>
    <row r="43" spans="1:11" ht="13.5" hidden="1" customHeight="1" outlineLevel="2">
      <c r="A43" s="4"/>
      <c r="B43" s="1584"/>
      <c r="C43" s="133"/>
      <c r="D43" s="31" t="s">
        <v>605</v>
      </c>
      <c r="E43" s="37" t="s">
        <v>606</v>
      </c>
      <c r="F43" s="32">
        <v>797</v>
      </c>
      <c r="G43" s="31"/>
      <c r="H43" s="75">
        <f>'Informations complémentaire'!G71</f>
        <v>0</v>
      </c>
      <c r="I43" s="806"/>
      <c r="J43" s="79"/>
      <c r="K43" s="323"/>
    </row>
    <row r="44" spans="1:11" ht="12.75" hidden="1" customHeight="1" outlineLevel="1" collapsed="1">
      <c r="A44" s="4"/>
      <c r="B44" s="1584"/>
      <c r="C44" s="133" t="s">
        <v>600</v>
      </c>
      <c r="D44" s="31"/>
      <c r="E44" s="31"/>
      <c r="F44" s="32"/>
      <c r="G44" s="31"/>
      <c r="H44" s="97">
        <f>H41+H42+H43</f>
        <v>455000</v>
      </c>
      <c r="I44" s="856"/>
      <c r="J44" s="79"/>
      <c r="K44" s="323"/>
    </row>
    <row r="45" spans="1:11" ht="12.75" hidden="1" customHeight="1" outlineLevel="2">
      <c r="A45" s="4"/>
      <c r="B45" s="1584"/>
      <c r="C45" s="133"/>
      <c r="D45" s="31" t="s">
        <v>608</v>
      </c>
      <c r="E45" s="31" t="s">
        <v>609</v>
      </c>
      <c r="F45" s="32" t="s">
        <v>610</v>
      </c>
      <c r="G45" s="31"/>
      <c r="H45" s="75">
        <f>'2052 et 2053 CR par nature'!K51</f>
        <v>0</v>
      </c>
      <c r="I45" s="806"/>
      <c r="J45" s="79"/>
      <c r="K45" s="323"/>
    </row>
    <row r="46" spans="1:11" ht="12.75" hidden="1" customHeight="1" outlineLevel="2">
      <c r="A46" s="4"/>
      <c r="B46" s="1584"/>
      <c r="C46" s="133"/>
      <c r="D46" s="38" t="s">
        <v>1311</v>
      </c>
      <c r="E46" s="31" t="s">
        <v>611</v>
      </c>
      <c r="F46" s="32">
        <v>678</v>
      </c>
      <c r="G46" s="31"/>
      <c r="H46" s="75">
        <f>'2052 et 2053 CR par nature'!K52-'2052 et 2053 CR par nature'!K77</f>
        <v>390000</v>
      </c>
      <c r="I46" s="806"/>
      <c r="J46" s="79"/>
      <c r="K46" s="323"/>
    </row>
    <row r="47" spans="1:11" ht="12.75" hidden="1" customHeight="1" outlineLevel="1" collapsed="1">
      <c r="A47" s="4"/>
      <c r="B47" s="1584"/>
      <c r="C47" s="133" t="s">
        <v>607</v>
      </c>
      <c r="D47" s="31"/>
      <c r="E47" s="31"/>
      <c r="F47" s="32"/>
      <c r="G47" s="31"/>
      <c r="H47" s="97">
        <f>H45+H46</f>
        <v>390000</v>
      </c>
      <c r="I47" s="856"/>
      <c r="J47" s="79"/>
      <c r="K47" s="323"/>
    </row>
    <row r="48" spans="1:11" ht="12.75" hidden="1" customHeight="1" outlineLevel="1">
      <c r="A48" s="4"/>
      <c r="B48" s="1584"/>
      <c r="C48" s="133" t="s">
        <v>612</v>
      </c>
      <c r="D48" s="31"/>
      <c r="E48" s="31" t="s">
        <v>613</v>
      </c>
      <c r="F48" s="32">
        <v>691</v>
      </c>
      <c r="G48" s="31"/>
      <c r="H48" s="75">
        <f>'2052 et 2053 CR par nature'!K56</f>
        <v>0</v>
      </c>
      <c r="I48" s="806"/>
      <c r="J48" s="79"/>
      <c r="K48" s="323"/>
    </row>
    <row r="49" spans="1:11" ht="12.75" hidden="1" customHeight="1" outlineLevel="1">
      <c r="A49" s="4"/>
      <c r="B49" s="1584"/>
      <c r="C49" s="133" t="s">
        <v>614</v>
      </c>
      <c r="D49" s="31"/>
      <c r="E49" s="31" t="s">
        <v>615</v>
      </c>
      <c r="F49" s="32" t="s">
        <v>616</v>
      </c>
      <c r="G49" s="31"/>
      <c r="H49" s="75">
        <f>'2052 et 2053 CR par nature'!K57</f>
        <v>760025</v>
      </c>
      <c r="I49" s="806"/>
      <c r="J49" s="79"/>
      <c r="K49" s="323"/>
    </row>
    <row r="50" spans="1:11" ht="61.5" customHeight="1" collapsed="1" thickBot="1">
      <c r="A50" s="4"/>
      <c r="B50" s="1585"/>
      <c r="C50" s="489" t="s">
        <v>617</v>
      </c>
      <c r="D50" s="96"/>
      <c r="E50" s="45"/>
      <c r="F50" s="44"/>
      <c r="G50" s="45"/>
      <c r="H50" s="81">
        <f>H29+H30+H31-H32+H33-H34+H37-H40+H44-H47-H48-H49</f>
        <v>2964275</v>
      </c>
      <c r="I50" s="807"/>
      <c r="J50" s="82"/>
      <c r="K50" s="323"/>
    </row>
    <row r="51" spans="1:11" ht="14.25" customHeight="1" thickBot="1"/>
    <row r="52" spans="1:11" ht="24.75" customHeight="1" thickBot="1">
      <c r="A52" s="4"/>
      <c r="B52" s="1575" t="s">
        <v>1967</v>
      </c>
      <c r="C52" s="1576"/>
      <c r="D52" s="1576"/>
      <c r="E52" s="1576"/>
      <c r="F52" s="1576"/>
      <c r="G52" s="1576"/>
      <c r="H52" s="1576"/>
      <c r="I52" s="1576"/>
      <c r="J52" s="1577"/>
      <c r="K52" s="323"/>
    </row>
    <row r="53" spans="1:11" ht="9" customHeight="1" thickBot="1">
      <c r="A53" s="4"/>
      <c r="B53" s="4"/>
      <c r="C53" s="4"/>
      <c r="D53" s="4"/>
      <c r="E53" s="4"/>
      <c r="F53" s="4"/>
      <c r="G53" s="4"/>
      <c r="H53" s="4"/>
      <c r="I53" s="4"/>
      <c r="J53" s="4"/>
      <c r="K53" s="4"/>
    </row>
    <row r="54" spans="1:11" ht="16.2" thickBot="1">
      <c r="A54" s="4"/>
      <c r="B54" s="23"/>
      <c r="C54" s="23"/>
      <c r="D54" s="23"/>
      <c r="E54" s="4"/>
      <c r="F54" s="4"/>
      <c r="G54" s="4"/>
      <c r="H54" s="490">
        <f>'Informations complémentaire'!D8</f>
        <v>2012</v>
      </c>
      <c r="I54" s="464">
        <f>IFERROR('Informations complémentaire'!D8-1,'Informations complémentaire'!D8&amp;" - 1")</f>
        <v>2011</v>
      </c>
      <c r="J54" s="105" t="s">
        <v>120</v>
      </c>
      <c r="K54" s="323"/>
    </row>
    <row r="55" spans="1:11" ht="12.75" hidden="1" customHeight="1" outlineLevel="1">
      <c r="A55" s="4"/>
      <c r="B55" s="1578" t="s">
        <v>666</v>
      </c>
      <c r="C55" s="43" t="s">
        <v>618</v>
      </c>
      <c r="D55" s="43"/>
      <c r="E55" s="43"/>
      <c r="F55" s="43"/>
      <c r="G55" s="43"/>
      <c r="H55" s="106">
        <f>H15</f>
        <v>2964275</v>
      </c>
      <c r="I55" s="854"/>
      <c r="J55" s="78"/>
      <c r="K55" s="323"/>
    </row>
    <row r="56" spans="1:11" ht="12.75" hidden="1" customHeight="1" outlineLevel="1">
      <c r="A56" s="4"/>
      <c r="B56" s="1581"/>
      <c r="C56" s="31" t="s">
        <v>619</v>
      </c>
      <c r="D56" s="31"/>
      <c r="E56" s="31"/>
      <c r="F56" s="31"/>
      <c r="G56" s="31"/>
      <c r="H56" s="75">
        <f>'Informations complémentaire'!G26</f>
        <v>187500</v>
      </c>
      <c r="I56" s="806"/>
      <c r="J56" s="79"/>
      <c r="K56" s="323"/>
    </row>
    <row r="57" spans="1:11" ht="53.25" customHeight="1" collapsed="1" thickBot="1">
      <c r="A57" s="4"/>
      <c r="B57" s="1582"/>
      <c r="C57" s="107" t="s">
        <v>620</v>
      </c>
      <c r="D57" s="64"/>
      <c r="E57" s="45"/>
      <c r="F57" s="45"/>
      <c r="G57" s="45"/>
      <c r="H57" s="81">
        <f>H55+H56</f>
        <v>3151775</v>
      </c>
      <c r="I57" s="807"/>
      <c r="J57" s="82"/>
      <c r="K57" s="323"/>
    </row>
    <row r="58" spans="1:11" ht="12.75" hidden="1" customHeight="1" outlineLevel="1">
      <c r="A58" s="4"/>
      <c r="B58" s="1578" t="s">
        <v>667</v>
      </c>
      <c r="C58" s="43" t="s">
        <v>621</v>
      </c>
      <c r="D58" s="43"/>
      <c r="E58" s="43"/>
      <c r="F58" s="43"/>
      <c r="G58" s="43"/>
      <c r="H58" s="106">
        <f>'Informations complémentaire'!G109</f>
        <v>0</v>
      </c>
      <c r="I58" s="854"/>
      <c r="J58" s="78"/>
      <c r="K58" s="323"/>
    </row>
    <row r="59" spans="1:11" ht="12.75" hidden="1" customHeight="1" outlineLevel="1">
      <c r="A59" s="4"/>
      <c r="B59" s="1581"/>
      <c r="C59" s="31" t="s">
        <v>622</v>
      </c>
      <c r="D59" s="31"/>
      <c r="E59" s="31"/>
      <c r="F59" s="31"/>
      <c r="G59" s="31"/>
      <c r="H59" s="97">
        <f>SIG!J251</f>
        <v>3151775</v>
      </c>
      <c r="I59" s="856"/>
      <c r="J59" s="79"/>
      <c r="K59" s="323"/>
    </row>
    <row r="60" spans="1:11" ht="53.25" customHeight="1" collapsed="1" thickBot="1">
      <c r="A60" s="4"/>
      <c r="B60" s="1582"/>
      <c r="C60" s="107" t="s">
        <v>623</v>
      </c>
      <c r="D60" s="64"/>
      <c r="E60" s="45"/>
      <c r="F60" s="45"/>
      <c r="G60" s="45"/>
      <c r="H60" s="81">
        <f>H58+H59</f>
        <v>3151775</v>
      </c>
      <c r="I60" s="807"/>
      <c r="J60" s="82"/>
      <c r="K60" s="323"/>
    </row>
  </sheetData>
  <mergeCells count="6">
    <mergeCell ref="B2:J2"/>
    <mergeCell ref="B5:B15"/>
    <mergeCell ref="B55:B57"/>
    <mergeCell ref="B58:B60"/>
    <mergeCell ref="B52:J52"/>
    <mergeCell ref="B16:B50"/>
  </mergeCells>
  <hyperlinks>
    <hyperlink ref="A1" location="Sommaire!A1" display="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Feuil17">
    <tabColor theme="9" tint="0.39997558519241921"/>
    <outlinePr summaryBelow="0" summaryRight="0"/>
  </sheetPr>
  <dimension ref="A1:P133"/>
  <sheetViews>
    <sheetView showGridLines="0" zoomScale="80" zoomScaleNormal="80" workbookViewId="0">
      <pane ySplit="1" topLeftCell="A2" activePane="bottomLeft" state="frozen"/>
      <selection pane="bottomLeft"/>
    </sheetView>
  </sheetViews>
  <sheetFormatPr baseColWidth="10" defaultColWidth="11.44140625" defaultRowHeight="13.2" outlineLevelRow="3" outlineLevelCol="1"/>
  <cols>
    <col min="1" max="1" width="3.33203125" style="551" customWidth="1"/>
    <col min="2" max="2" width="5.88671875" style="551" customWidth="1"/>
    <col min="3" max="3" width="4.33203125" style="551" customWidth="1"/>
    <col min="4" max="4" width="7.6640625" style="551" customWidth="1"/>
    <col min="5" max="5" width="7.88671875" style="551" customWidth="1"/>
    <col min="6" max="6" width="64.5546875" style="551" bestFit="1" customWidth="1" collapsed="1"/>
    <col min="7" max="7" width="33.44140625" style="551" hidden="1" customWidth="1" outlineLevel="1"/>
    <col min="8" max="8" width="16.44140625" style="113" hidden="1" customWidth="1" outlineLevel="1"/>
    <col min="9" max="9" width="68.44140625" style="551" hidden="1" customWidth="1" outlineLevel="1"/>
    <col min="10" max="13" width="15.6640625" style="551" customWidth="1"/>
    <col min="14" max="14" width="52.109375" style="551" customWidth="1"/>
    <col min="15" max="16384" width="11.44140625" style="551"/>
  </cols>
  <sheetData>
    <row r="1" spans="1:15" ht="14.4" thickBot="1">
      <c r="A1" s="981" t="s">
        <v>2015</v>
      </c>
    </row>
    <row r="2" spans="1:15" s="110" customFormat="1" ht="28.5" customHeight="1" thickBot="1">
      <c r="B2" s="1602" t="s">
        <v>2010</v>
      </c>
      <c r="C2" s="1603"/>
      <c r="D2" s="1603"/>
      <c r="E2" s="1603"/>
      <c r="F2" s="1603"/>
      <c r="G2" s="1603"/>
      <c r="H2" s="1603"/>
      <c r="I2" s="1603"/>
      <c r="J2" s="1603"/>
      <c r="K2" s="1603"/>
      <c r="L2" s="1603"/>
      <c r="M2" s="1603"/>
      <c r="N2" s="1604"/>
      <c r="O2" s="323"/>
    </row>
    <row r="3" spans="1:15" ht="17.399999999999999" customHeight="1">
      <c r="H3" s="551"/>
      <c r="O3" s="954"/>
    </row>
    <row r="4" spans="1:15" s="110" customFormat="1" ht="7.5" customHeight="1" thickBot="1">
      <c r="D4" s="551"/>
      <c r="H4" s="113"/>
      <c r="K4" s="118"/>
      <c r="L4" s="118"/>
      <c r="M4" s="551"/>
    </row>
    <row r="5" spans="1:15" s="110" customFormat="1" ht="33" customHeight="1" thickBot="1">
      <c r="B5" s="1611" t="s">
        <v>668</v>
      </c>
      <c r="C5" s="1612"/>
      <c r="D5" s="1612"/>
      <c r="E5" s="1612"/>
      <c r="F5" s="1613"/>
      <c r="G5" s="965" t="s">
        <v>43</v>
      </c>
      <c r="H5" s="61" t="s">
        <v>0</v>
      </c>
      <c r="I5" s="62" t="s">
        <v>120</v>
      </c>
      <c r="J5" s="461">
        <f>'Informations complémentaire'!D8</f>
        <v>2012</v>
      </c>
      <c r="K5" s="461">
        <f>IFERROR('Informations complémentaire'!D8-1,'Informations complémentaire'!D8&amp;" - 1")</f>
        <v>2011</v>
      </c>
      <c r="L5" s="623" t="s">
        <v>1682</v>
      </c>
      <c r="M5" s="623" t="s">
        <v>1929</v>
      </c>
      <c r="N5" s="588" t="s">
        <v>120</v>
      </c>
      <c r="O5" s="323"/>
    </row>
    <row r="6" spans="1:15" s="110" customFormat="1" ht="32.1" customHeight="1">
      <c r="B6" s="1606" t="s">
        <v>668</v>
      </c>
      <c r="C6" s="1586" t="s">
        <v>2022</v>
      </c>
      <c r="D6" s="1586"/>
      <c r="E6" s="1586"/>
      <c r="F6" s="1586"/>
      <c r="G6" s="563"/>
      <c r="H6" s="120"/>
      <c r="I6" s="123"/>
      <c r="J6" s="624">
        <f>J7+J19</f>
        <v>15085000</v>
      </c>
      <c r="K6" s="129">
        <f>IF('Informations complémentaire'!$G$12="Oui",K7+K19,'Calcul intermédiaire'!J9)</f>
        <v>11510000</v>
      </c>
      <c r="L6" s="129">
        <f>J6-K6</f>
        <v>3575000</v>
      </c>
      <c r="M6" s="714">
        <f>IF(K6&lt;&gt;0,(J6-K6)/K6,"")</f>
        <v>0.3105994787141616</v>
      </c>
      <c r="N6" s="575"/>
      <c r="O6" s="593"/>
    </row>
    <row r="7" spans="1:15" s="110" customFormat="1" ht="24.9" customHeight="1" outlineLevel="1" collapsed="1">
      <c r="B7" s="1607"/>
      <c r="C7" s="564"/>
      <c r="D7" s="1587" t="s">
        <v>669</v>
      </c>
      <c r="E7" s="1587"/>
      <c r="F7" s="1587"/>
      <c r="G7" s="564"/>
      <c r="H7" s="565"/>
      <c r="I7" s="124"/>
      <c r="J7" s="690">
        <f>SUM(J8:J18)</f>
        <v>13885000</v>
      </c>
      <c r="K7" s="689">
        <f>SUM(K8:K18)</f>
        <v>0</v>
      </c>
      <c r="L7" s="689"/>
      <c r="M7" s="715" t="str">
        <f>IF(K7&lt;&gt;0,(J7-K7)/K7,"")</f>
        <v/>
      </c>
      <c r="N7" s="576"/>
      <c r="O7" s="593"/>
    </row>
    <row r="8" spans="1:15" s="110" customFormat="1" ht="18" hidden="1" customHeight="1" outlineLevel="3">
      <c r="B8" s="1607"/>
      <c r="C8" s="564"/>
      <c r="D8" s="564"/>
      <c r="E8" s="1589" t="s">
        <v>4</v>
      </c>
      <c r="F8" s="1589"/>
      <c r="G8" s="564"/>
      <c r="H8" s="565"/>
      <c r="I8" s="1470" t="s">
        <v>832</v>
      </c>
      <c r="J8" s="125">
        <f>'2050 Actif'!J7</f>
        <v>10000</v>
      </c>
      <c r="K8" s="75">
        <f>IF('Informations complémentaire'!$G$12="Oui",'2050 Actif'!O7,0)</f>
        <v>0</v>
      </c>
      <c r="L8" s="75"/>
      <c r="M8" s="708"/>
      <c r="N8" s="576"/>
      <c r="O8" s="593"/>
    </row>
    <row r="9" spans="1:15" s="110" customFormat="1" ht="18" hidden="1" customHeight="1" outlineLevel="3">
      <c r="B9" s="1607"/>
      <c r="C9" s="564"/>
      <c r="D9" s="564"/>
      <c r="E9" s="1589" t="s">
        <v>721</v>
      </c>
      <c r="F9" s="1589"/>
      <c r="G9" s="564"/>
      <c r="H9" s="565"/>
      <c r="I9" s="1610"/>
      <c r="J9" s="125">
        <f>'2050 Actif'!J8</f>
        <v>1230000</v>
      </c>
      <c r="K9" s="75">
        <f>IF('Informations complémentaire'!$G$12="Oui",'2050 Actif'!O8,0)</f>
        <v>0</v>
      </c>
      <c r="L9" s="75"/>
      <c r="M9" s="708"/>
      <c r="N9" s="576"/>
      <c r="O9" s="593"/>
    </row>
    <row r="10" spans="1:15" s="110" customFormat="1" ht="18" hidden="1" customHeight="1" outlineLevel="3">
      <c r="B10" s="1607"/>
      <c r="C10" s="564"/>
      <c r="D10" s="564"/>
      <c r="E10" s="1589" t="s">
        <v>722</v>
      </c>
      <c r="F10" s="1589"/>
      <c r="G10" s="564"/>
      <c r="H10" s="565"/>
      <c r="I10" s="1610"/>
      <c r="J10" s="125">
        <f>'2050 Actif'!J9</f>
        <v>0</v>
      </c>
      <c r="K10" s="75">
        <f>IF('Informations complémentaire'!$G$12="Oui",'2050 Actif'!O9,0)</f>
        <v>0</v>
      </c>
      <c r="L10" s="75"/>
      <c r="M10" s="708"/>
      <c r="N10" s="576"/>
      <c r="O10" s="593"/>
    </row>
    <row r="11" spans="1:15" s="110" customFormat="1" ht="18" hidden="1" customHeight="1" outlineLevel="3">
      <c r="B11" s="1607"/>
      <c r="C11" s="564"/>
      <c r="D11" s="564"/>
      <c r="E11" s="1589" t="s">
        <v>723</v>
      </c>
      <c r="F11" s="1589"/>
      <c r="G11" s="564"/>
      <c r="H11" s="565"/>
      <c r="I11" s="1610"/>
      <c r="J11" s="125">
        <f>'2050 Actif'!J10</f>
        <v>0</v>
      </c>
      <c r="K11" s="75">
        <f>IF('Informations complémentaire'!$G$12="Oui",'2050 Actif'!O10,0)</f>
        <v>0</v>
      </c>
      <c r="L11" s="75"/>
      <c r="M11" s="708"/>
      <c r="N11" s="576"/>
      <c r="O11" s="593"/>
    </row>
    <row r="12" spans="1:15" s="110" customFormat="1" ht="18" hidden="1" customHeight="1" outlineLevel="3">
      <c r="B12" s="1607"/>
      <c r="C12" s="564"/>
      <c r="D12" s="564"/>
      <c r="E12" s="1589" t="s">
        <v>724</v>
      </c>
      <c r="F12" s="1589"/>
      <c r="G12" s="564"/>
      <c r="H12" s="565"/>
      <c r="I12" s="1610"/>
      <c r="J12" s="125">
        <f>'2050 Actif'!J11</f>
        <v>0</v>
      </c>
      <c r="K12" s="75">
        <f>IF('Informations complémentaire'!$G$12="Oui",'2050 Actif'!O11,0)</f>
        <v>0</v>
      </c>
      <c r="L12" s="75"/>
      <c r="M12" s="708"/>
      <c r="N12" s="576"/>
      <c r="O12" s="593"/>
    </row>
    <row r="13" spans="1:15" s="110" customFormat="1" ht="18" hidden="1" customHeight="1" outlineLevel="3">
      <c r="B13" s="1607"/>
      <c r="C13" s="564"/>
      <c r="D13" s="564"/>
      <c r="E13" s="1589" t="s">
        <v>725</v>
      </c>
      <c r="F13" s="1589"/>
      <c r="G13" s="564"/>
      <c r="H13" s="565"/>
      <c r="I13" s="1610"/>
      <c r="J13" s="125">
        <f>'2050 Actif'!J14</f>
        <v>825000</v>
      </c>
      <c r="K13" s="75">
        <f>IF('Informations complémentaire'!$G$12="Oui",'2050 Actif'!O14,0)</f>
        <v>0</v>
      </c>
      <c r="L13" s="75"/>
      <c r="M13" s="708"/>
      <c r="N13" s="576"/>
      <c r="O13" s="593"/>
    </row>
    <row r="14" spans="1:15" s="110" customFormat="1" ht="18" hidden="1" customHeight="1" outlineLevel="3">
      <c r="B14" s="1607"/>
      <c r="C14" s="564"/>
      <c r="D14" s="564"/>
      <c r="E14" s="1589" t="s">
        <v>726</v>
      </c>
      <c r="F14" s="1589"/>
      <c r="G14" s="564"/>
      <c r="H14" s="565"/>
      <c r="I14" s="1610"/>
      <c r="J14" s="125">
        <f>'2050 Actif'!J15</f>
        <v>3870000</v>
      </c>
      <c r="K14" s="75">
        <f>IF('Informations complémentaire'!$G$12="Oui",'2050 Actif'!O15,0)</f>
        <v>0</v>
      </c>
      <c r="L14" s="75"/>
      <c r="M14" s="708"/>
      <c r="N14" s="576"/>
      <c r="O14" s="593"/>
    </row>
    <row r="15" spans="1:15" s="110" customFormat="1" ht="18" hidden="1" customHeight="1" outlineLevel="3">
      <c r="B15" s="1607"/>
      <c r="C15" s="564"/>
      <c r="D15" s="564"/>
      <c r="E15" s="1589" t="s">
        <v>727</v>
      </c>
      <c r="F15" s="1589"/>
      <c r="G15" s="564"/>
      <c r="H15" s="565"/>
      <c r="I15" s="1610"/>
      <c r="J15" s="125">
        <f>'2050 Actif'!J16</f>
        <v>6550000</v>
      </c>
      <c r="K15" s="75">
        <f>IF('Informations complémentaire'!$G$12="Oui",'2050 Actif'!O16,0)</f>
        <v>0</v>
      </c>
      <c r="L15" s="75"/>
      <c r="M15" s="708"/>
      <c r="N15" s="576"/>
      <c r="O15" s="593"/>
    </row>
    <row r="16" spans="1:15" s="110" customFormat="1" ht="18" hidden="1" customHeight="1" outlineLevel="3">
      <c r="B16" s="1607"/>
      <c r="C16" s="564"/>
      <c r="D16" s="564"/>
      <c r="E16" s="1589" t="s">
        <v>728</v>
      </c>
      <c r="F16" s="1589"/>
      <c r="G16" s="564"/>
      <c r="H16" s="565"/>
      <c r="I16" s="1610"/>
      <c r="J16" s="125">
        <f>'2050 Actif'!J17</f>
        <v>0</v>
      </c>
      <c r="K16" s="75">
        <f>IF('Informations complémentaire'!$G$12="Oui",'2050 Actif'!O17,0)</f>
        <v>0</v>
      </c>
      <c r="L16" s="75"/>
      <c r="M16" s="708"/>
      <c r="N16" s="576"/>
      <c r="O16" s="593"/>
    </row>
    <row r="17" spans="2:15" s="110" customFormat="1" ht="26.4" hidden="1" outlineLevel="3">
      <c r="B17" s="1607"/>
      <c r="C17" s="564"/>
      <c r="D17" s="131"/>
      <c r="E17" s="1592" t="s">
        <v>729</v>
      </c>
      <c r="F17" s="1592"/>
      <c r="G17" s="564"/>
      <c r="H17" s="565"/>
      <c r="I17" s="617" t="s">
        <v>1622</v>
      </c>
      <c r="J17" s="626">
        <f>IF('Informations complémentaire'!$G$20="Oui",'Informations complémentaire'!G24,'Informations complémentaire'!G24-'Informations complémentaire'!G25)</f>
        <v>1400000</v>
      </c>
      <c r="K17" s="186">
        <f>IF('Informations complémentaire'!$G$12="Oui",IF('Informations complémentaire'!$G$20="Oui",'Informations complémentaire'!H24,'Informations complémentaire'!H24-'Informations complémentaire'!H25),0)</f>
        <v>0</v>
      </c>
      <c r="L17" s="75"/>
      <c r="M17" s="708"/>
      <c r="N17" s="576"/>
      <c r="O17" s="593"/>
    </row>
    <row r="18" spans="2:15" s="110" customFormat="1" ht="26.4" hidden="1" outlineLevel="3">
      <c r="B18" s="1607"/>
      <c r="C18" s="564"/>
      <c r="D18" s="131"/>
      <c r="E18" s="1601" t="s">
        <v>819</v>
      </c>
      <c r="F18" s="1601"/>
      <c r="G18" s="564"/>
      <c r="H18" s="565"/>
      <c r="I18" s="619" t="s">
        <v>821</v>
      </c>
      <c r="J18" s="626">
        <f>IF('Informations complémentaire'!$G$18="oui",'2050 Actif'!J41,0)</f>
        <v>0</v>
      </c>
      <c r="K18" s="186">
        <f>IF('Informations complémentaire'!$G$12="Oui",IF('Informations complémentaire'!$G$18="oui",'2050 Actif'!O41,0),0)</f>
        <v>0</v>
      </c>
      <c r="L18" s="75"/>
      <c r="M18" s="708"/>
      <c r="N18" s="576"/>
      <c r="O18" s="593"/>
    </row>
    <row r="19" spans="2:15" s="110" customFormat="1" ht="24.9" customHeight="1" outlineLevel="1" collapsed="1">
      <c r="B19" s="1607"/>
      <c r="C19" s="564"/>
      <c r="D19" s="1587" t="s">
        <v>670</v>
      </c>
      <c r="E19" s="1587"/>
      <c r="F19" s="1587"/>
      <c r="G19" s="564"/>
      <c r="H19" s="565"/>
      <c r="I19" s="124"/>
      <c r="J19" s="690">
        <f>J20+J21+J22+J23+J24-J25-J26+J27-J28</f>
        <v>1200000</v>
      </c>
      <c r="K19" s="689">
        <f>K20+K21+K22+K23+K24-K25-K26+K27-K28</f>
        <v>0</v>
      </c>
      <c r="L19" s="689"/>
      <c r="M19" s="715" t="str">
        <f>IF(K19&lt;&gt;0,(J19-K19)/K19,"")</f>
        <v/>
      </c>
      <c r="N19" s="576"/>
      <c r="O19" s="593"/>
    </row>
    <row r="20" spans="2:15" s="110" customFormat="1" hidden="1" outlineLevel="3">
      <c r="B20" s="1607"/>
      <c r="C20" s="564"/>
      <c r="D20" s="564"/>
      <c r="E20" s="1600" t="s">
        <v>11</v>
      </c>
      <c r="F20" s="1600"/>
      <c r="G20" s="564"/>
      <c r="H20" s="565"/>
      <c r="I20" s="1593" t="s">
        <v>831</v>
      </c>
      <c r="J20" s="125">
        <f>'2050 Actif'!J13</f>
        <v>0</v>
      </c>
      <c r="K20" s="75">
        <f>IF('Informations complémentaire'!$G$12="Oui",'2050 Actif'!O13,0)</f>
        <v>0</v>
      </c>
      <c r="L20" s="75"/>
      <c r="M20" s="708"/>
      <c r="N20" s="576"/>
      <c r="O20" s="593"/>
    </row>
    <row r="21" spans="2:15" s="110" customFormat="1" hidden="1" outlineLevel="3">
      <c r="B21" s="1607"/>
      <c r="C21" s="564"/>
      <c r="D21" s="564"/>
      <c r="E21" s="1590" t="s">
        <v>671</v>
      </c>
      <c r="F21" s="1590"/>
      <c r="G21" s="564"/>
      <c r="H21" s="565"/>
      <c r="I21" s="1593"/>
      <c r="J21" s="125">
        <f>'2050 Actif'!J19</f>
        <v>0</v>
      </c>
      <c r="K21" s="75">
        <f>IF('Informations complémentaire'!$G$12="Oui",'2050 Actif'!O19,0)</f>
        <v>0</v>
      </c>
      <c r="L21" s="75"/>
      <c r="M21" s="708"/>
      <c r="N21" s="576"/>
      <c r="O21" s="593"/>
    </row>
    <row r="22" spans="2:15" s="110" customFormat="1" hidden="1" outlineLevel="3">
      <c r="B22" s="1607"/>
      <c r="C22" s="564"/>
      <c r="D22" s="564"/>
      <c r="E22" s="1590" t="s">
        <v>672</v>
      </c>
      <c r="F22" s="1590"/>
      <c r="G22" s="564"/>
      <c r="H22" s="565"/>
      <c r="I22" s="1593"/>
      <c r="J22" s="125">
        <f>'2050 Actif'!J12</f>
        <v>0</v>
      </c>
      <c r="K22" s="75">
        <f>IF('Informations complémentaire'!$G$12="Oui",'2050 Actif'!O12,0)</f>
        <v>0</v>
      </c>
      <c r="L22" s="75"/>
      <c r="M22" s="708"/>
      <c r="N22" s="576"/>
      <c r="O22" s="593"/>
    </row>
    <row r="23" spans="2:15" s="110" customFormat="1" hidden="1" outlineLevel="3">
      <c r="B23" s="1607"/>
      <c r="C23" s="564"/>
      <c r="D23" s="564"/>
      <c r="E23" s="1590" t="s">
        <v>673</v>
      </c>
      <c r="F23" s="1590"/>
      <c r="G23" s="564"/>
      <c r="H23" s="565"/>
      <c r="I23" s="1593"/>
      <c r="J23" s="125">
        <f>'2050 Actif'!J18</f>
        <v>0</v>
      </c>
      <c r="K23" s="75">
        <f>IF('Informations complémentaire'!$G$12="Oui",'2050 Actif'!O18,0)</f>
        <v>0</v>
      </c>
      <c r="L23" s="75"/>
      <c r="M23" s="708"/>
      <c r="N23" s="576"/>
      <c r="O23" s="593"/>
    </row>
    <row r="24" spans="2:15" s="110" customFormat="1" hidden="1" outlineLevel="3">
      <c r="B24" s="1607"/>
      <c r="C24" s="564"/>
      <c r="D24" s="564"/>
      <c r="E24" s="1590" t="s">
        <v>674</v>
      </c>
      <c r="F24" s="1590"/>
      <c r="G24" s="564"/>
      <c r="H24" s="565"/>
      <c r="I24" s="1593"/>
      <c r="J24" s="125">
        <f>'2050 Actif'!J20+'2050 Actif'!J21+'2050 Actif'!J22+'2050 Actif'!J23+'2050 Actif'!J24+'2050 Actif'!J25</f>
        <v>1200000</v>
      </c>
      <c r="K24" s="75">
        <f>IF('Informations complémentaire'!$G$12="Oui",'2050 Actif'!O20+'2050 Actif'!O21+'2050 Actif'!O22+'2050 Actif'!O23+'2050 Actif'!O24+'2050 Actif'!O25,0)</f>
        <v>0</v>
      </c>
      <c r="L24" s="75"/>
      <c r="M24" s="708"/>
      <c r="N24" s="576"/>
      <c r="O24" s="593"/>
    </row>
    <row r="25" spans="2:15" s="110" customFormat="1" hidden="1" outlineLevel="3">
      <c r="B25" s="1607"/>
      <c r="C25" s="564"/>
      <c r="D25" s="131"/>
      <c r="E25" s="1591" t="s">
        <v>675</v>
      </c>
      <c r="F25" s="1591"/>
      <c r="G25" s="564"/>
      <c r="H25" s="565"/>
      <c r="I25" s="618" t="s">
        <v>812</v>
      </c>
      <c r="J25" s="125">
        <f>'Informations complémentaire'!G60</f>
        <v>0</v>
      </c>
      <c r="K25" s="75">
        <f>IF('Informations complémentaire'!$G$12="Oui",'Informations complémentaire'!H60,0)</f>
        <v>0</v>
      </c>
      <c r="L25" s="75"/>
      <c r="M25" s="708"/>
      <c r="N25" s="576"/>
      <c r="O25" s="593"/>
    </row>
    <row r="26" spans="2:15" s="110" customFormat="1" hidden="1" outlineLevel="3">
      <c r="B26" s="1607"/>
      <c r="C26" s="564"/>
      <c r="D26" s="131"/>
      <c r="E26" s="1591" t="s">
        <v>676</v>
      </c>
      <c r="F26" s="1591"/>
      <c r="G26" s="564"/>
      <c r="H26" s="565"/>
      <c r="I26" s="618" t="s">
        <v>812</v>
      </c>
      <c r="J26" s="125">
        <f>'Informations complémentaire'!G61</f>
        <v>0</v>
      </c>
      <c r="K26" s="75">
        <f>IF('Informations complémentaire'!$G$12="Oui",'Informations complémentaire'!H61,0)</f>
        <v>0</v>
      </c>
      <c r="L26" s="75"/>
      <c r="M26" s="708"/>
      <c r="N26" s="576"/>
      <c r="O26" s="593"/>
    </row>
    <row r="27" spans="2:15" s="110" customFormat="1" hidden="1" outlineLevel="3">
      <c r="B27" s="1607"/>
      <c r="C27" s="564"/>
      <c r="D27" s="131"/>
      <c r="E27" s="1599" t="s">
        <v>712</v>
      </c>
      <c r="F27" s="1599"/>
      <c r="G27" s="564"/>
      <c r="H27" s="565"/>
      <c r="I27" s="124"/>
      <c r="J27" s="125"/>
      <c r="K27" s="75">
        <f>IF('Informations complémentaire'!$G$12="Oui",'Informations complémentaire'!H85,0)</f>
        <v>0</v>
      </c>
      <c r="L27" s="75"/>
      <c r="M27" s="708"/>
      <c r="N27" s="576"/>
      <c r="O27" s="593"/>
    </row>
    <row r="28" spans="2:15" s="110" customFormat="1" hidden="1" outlineLevel="3">
      <c r="B28" s="1607"/>
      <c r="C28" s="564"/>
      <c r="D28" s="131"/>
      <c r="E28" s="1599" t="s">
        <v>713</v>
      </c>
      <c r="F28" s="1599"/>
      <c r="G28" s="564"/>
      <c r="H28" s="565"/>
      <c r="I28" s="124"/>
      <c r="J28" s="125"/>
      <c r="K28" s="75">
        <f>IF('Informations complémentaire'!$G$12="Oui",'Informations complémentaire'!H96,0)</f>
        <v>0</v>
      </c>
      <c r="L28" s="75"/>
      <c r="M28" s="708"/>
      <c r="N28" s="576"/>
      <c r="O28" s="593"/>
    </row>
    <row r="29" spans="2:15" s="110" customFormat="1" ht="32.1" customHeight="1">
      <c r="B29" s="1607"/>
      <c r="C29" s="1588" t="s">
        <v>677</v>
      </c>
      <c r="D29" s="1588"/>
      <c r="E29" s="1588"/>
      <c r="F29" s="1588"/>
      <c r="G29" s="564"/>
      <c r="H29" s="565"/>
      <c r="I29" s="124"/>
      <c r="J29" s="625">
        <f>J30+J49+J60</f>
        <v>8751000</v>
      </c>
      <c r="K29" s="127">
        <f>IF('Informations complémentaire'!$G$12="Oui",K30+K49+K60,'Calcul intermédiaire'!J31)</f>
        <v>5978800</v>
      </c>
      <c r="L29" s="127">
        <f>J29-K29</f>
        <v>2772200</v>
      </c>
      <c r="M29" s="716">
        <f>IF(K29&lt;&gt;0,(J29-K29)/K29,"")</f>
        <v>0.46367163979393861</v>
      </c>
      <c r="N29" s="576"/>
      <c r="O29" s="593"/>
    </row>
    <row r="30" spans="2:15" s="589" customFormat="1" ht="32.1" customHeight="1" outlineLevel="1" collapsed="1">
      <c r="B30" s="1607"/>
      <c r="C30" s="599"/>
      <c r="D30" s="1587" t="s">
        <v>2020</v>
      </c>
      <c r="E30" s="1587"/>
      <c r="F30" s="1587"/>
      <c r="G30" s="131"/>
      <c r="H30" s="591"/>
      <c r="I30" s="620"/>
      <c r="J30" s="690">
        <f>J31+J37+J41</f>
        <v>7671000</v>
      </c>
      <c r="K30" s="689">
        <f>K31+K37+K41</f>
        <v>7348200</v>
      </c>
      <c r="L30" s="689">
        <f>J30-K30</f>
        <v>322800</v>
      </c>
      <c r="M30" s="715">
        <f>IF(K30&lt;&gt;0,(J30-K30)/K30,"")</f>
        <v>4.3929125500122478E-2</v>
      </c>
      <c r="N30" s="592"/>
      <c r="O30" s="593"/>
    </row>
    <row r="31" spans="2:15" s="110" customFormat="1" ht="24.9" hidden="1" customHeight="1" outlineLevel="2" collapsed="1">
      <c r="B31" s="1607"/>
      <c r="C31" s="564"/>
      <c r="D31" s="564"/>
      <c r="E31" s="1516" t="s">
        <v>28</v>
      </c>
      <c r="F31" s="1516"/>
      <c r="G31" s="564"/>
      <c r="H31" s="565"/>
      <c r="I31" s="124"/>
      <c r="J31" s="126">
        <f>SUM(J32:J36)</f>
        <v>2897000</v>
      </c>
      <c r="K31" s="128">
        <f>SUM(K32:K36)+'2056 Dépréciations e provisions'!H33</f>
        <v>2543000</v>
      </c>
      <c r="L31" s="128">
        <f>J31-K31</f>
        <v>354000</v>
      </c>
      <c r="M31" s="709">
        <f>IF(K31&lt;&gt;0,(J31-K31)/K31,"")</f>
        <v>0.13920566260322453</v>
      </c>
      <c r="N31" s="576"/>
      <c r="O31" s="593"/>
    </row>
    <row r="32" spans="2:15" s="110" customFormat="1" hidden="1" outlineLevel="3">
      <c r="B32" s="1607"/>
      <c r="C32" s="564"/>
      <c r="D32" s="564"/>
      <c r="E32" s="38"/>
      <c r="F32" s="31" t="s">
        <v>682</v>
      </c>
      <c r="G32" s="564"/>
      <c r="H32" s="565"/>
      <c r="I32" s="124"/>
      <c r="J32" s="125">
        <f>'2050 Actif'!J27</f>
        <v>300000</v>
      </c>
      <c r="K32" s="75">
        <f>IF('Informations complémentaire'!$G$12="Oui",'2050 Actif'!O27,'2050 Actif'!S27)</f>
        <v>335000</v>
      </c>
      <c r="L32" s="75"/>
      <c r="M32" s="708"/>
      <c r="N32" s="576"/>
      <c r="O32" s="593"/>
    </row>
    <row r="33" spans="2:16" s="110" customFormat="1" hidden="1" outlineLevel="3">
      <c r="B33" s="1607"/>
      <c r="C33" s="564"/>
      <c r="D33" s="564"/>
      <c r="E33" s="38"/>
      <c r="F33" s="39" t="s">
        <v>684</v>
      </c>
      <c r="G33" s="564"/>
      <c r="H33" s="565"/>
      <c r="I33" s="124"/>
      <c r="J33" s="125">
        <f>'2050 Actif'!J28</f>
        <v>1820000</v>
      </c>
      <c r="K33" s="75">
        <f>IF('Informations complémentaire'!$G$12="Oui",'2050 Actif'!O28,'2050 Actif'!S28)</f>
        <v>1695000</v>
      </c>
      <c r="L33" s="75"/>
      <c r="M33" s="708"/>
      <c r="N33" s="576"/>
      <c r="O33" s="593"/>
    </row>
    <row r="34" spans="2:16" s="110" customFormat="1" hidden="1" outlineLevel="3">
      <c r="B34" s="1607"/>
      <c r="C34" s="564"/>
      <c r="D34" s="564"/>
      <c r="E34" s="38"/>
      <c r="F34" s="39" t="s">
        <v>685</v>
      </c>
      <c r="G34" s="564"/>
      <c r="H34" s="565"/>
      <c r="I34" s="124"/>
      <c r="J34" s="125">
        <f>'2050 Actif'!J29</f>
        <v>0</v>
      </c>
      <c r="K34" s="75">
        <f>IF('Informations complémentaire'!$G$12="Oui",'2050 Actif'!O29,'2050 Actif'!S29)</f>
        <v>0</v>
      </c>
      <c r="L34" s="75"/>
      <c r="M34" s="708"/>
      <c r="N34" s="576"/>
      <c r="O34" s="593"/>
    </row>
    <row r="35" spans="2:16" s="110" customFormat="1" hidden="1" outlineLevel="3">
      <c r="B35" s="1607"/>
      <c r="C35" s="564"/>
      <c r="D35" s="564"/>
      <c r="E35" s="38"/>
      <c r="F35" s="39" t="s">
        <v>686</v>
      </c>
      <c r="G35" s="564"/>
      <c r="H35" s="565"/>
      <c r="I35" s="124"/>
      <c r="J35" s="125">
        <f>'2050 Actif'!J30</f>
        <v>377000</v>
      </c>
      <c r="K35" s="75">
        <f>IF('Informations complémentaire'!$G$12="Oui",'2050 Actif'!O30,'2050 Actif'!S30)</f>
        <v>480000</v>
      </c>
      <c r="L35" s="75"/>
      <c r="M35" s="708"/>
      <c r="N35" s="576"/>
      <c r="O35" s="593"/>
    </row>
    <row r="36" spans="2:16" s="110" customFormat="1" hidden="1" outlineLevel="3">
      <c r="B36" s="1607"/>
      <c r="C36" s="564"/>
      <c r="D36" s="564"/>
      <c r="E36" s="38"/>
      <c r="F36" s="39" t="s">
        <v>687</v>
      </c>
      <c r="G36" s="564"/>
      <c r="H36" s="565"/>
      <c r="I36" s="124"/>
      <c r="J36" s="125">
        <f>'2050 Actif'!J31</f>
        <v>400000</v>
      </c>
      <c r="K36" s="75">
        <f>IF('Informations complémentaire'!$G$12="Oui",'2050 Actif'!O31,'2050 Actif'!S31)</f>
        <v>33000</v>
      </c>
      <c r="L36" s="75"/>
      <c r="M36" s="708"/>
      <c r="N36" s="576"/>
      <c r="O36" s="593"/>
    </row>
    <row r="37" spans="2:16" s="110" customFormat="1" ht="24.9" hidden="1" customHeight="1" outlineLevel="2" collapsed="1">
      <c r="B37" s="1607"/>
      <c r="C37" s="564"/>
      <c r="D37" s="564"/>
      <c r="E37" s="1516" t="s">
        <v>678</v>
      </c>
      <c r="F37" s="1516"/>
      <c r="G37" s="564"/>
      <c r="H37" s="565"/>
      <c r="I37" s="124"/>
      <c r="J37" s="126">
        <f>J38+J39-J40</f>
        <v>0</v>
      </c>
      <c r="K37" s="128">
        <f>K38+K39-K40</f>
        <v>0</v>
      </c>
      <c r="L37" s="128">
        <f>J37-K37</f>
        <v>0</v>
      </c>
      <c r="M37" s="709" t="str">
        <f>IF(K37&lt;&gt;0,(J37-K37)/K37,"")</f>
        <v/>
      </c>
      <c r="N37" s="576"/>
      <c r="O37" s="593"/>
    </row>
    <row r="38" spans="2:16" s="110" customFormat="1" hidden="1" outlineLevel="3">
      <c r="B38" s="1607"/>
      <c r="C38" s="564"/>
      <c r="D38" s="564"/>
      <c r="E38" s="38"/>
      <c r="F38" s="38" t="s">
        <v>683</v>
      </c>
      <c r="G38" s="564"/>
      <c r="H38" s="565"/>
      <c r="I38" s="124"/>
      <c r="J38" s="125">
        <f>'2050 Actif'!J32</f>
        <v>0</v>
      </c>
      <c r="K38" s="75">
        <f>IF('Informations complémentaire'!$G$12="Oui",'2050 Actif'!O32,'2050 Actif'!S32)</f>
        <v>0</v>
      </c>
      <c r="L38" s="75"/>
      <c r="M38" s="708"/>
      <c r="N38" s="576"/>
      <c r="O38" s="593"/>
    </row>
    <row r="39" spans="2:16" s="110" customFormat="1" hidden="1" outlineLevel="3">
      <c r="B39" s="1607"/>
      <c r="C39" s="564"/>
      <c r="D39" s="564"/>
      <c r="E39" s="38"/>
      <c r="F39" s="112" t="s">
        <v>710</v>
      </c>
      <c r="G39" s="564"/>
      <c r="H39" s="565"/>
      <c r="I39" s="124"/>
      <c r="J39" s="125">
        <f>'Informations complémentaire'!G88</f>
        <v>0</v>
      </c>
      <c r="K39" s="75">
        <f>'Informations complémentaire'!H88</f>
        <v>0</v>
      </c>
      <c r="L39" s="75"/>
      <c r="M39" s="708"/>
      <c r="N39" s="576"/>
      <c r="O39" s="593"/>
    </row>
    <row r="40" spans="2:16" s="110" customFormat="1" hidden="1" outlineLevel="3">
      <c r="B40" s="1607"/>
      <c r="C40" s="564"/>
      <c r="D40" s="564"/>
      <c r="E40" s="38"/>
      <c r="F40" s="112" t="s">
        <v>711</v>
      </c>
      <c r="G40" s="564"/>
      <c r="H40" s="565"/>
      <c r="I40" s="124"/>
      <c r="J40" s="125">
        <f>'Informations complémentaire'!G99</f>
        <v>0</v>
      </c>
      <c r="K40" s="75">
        <f>'Informations complémentaire'!H99</f>
        <v>0</v>
      </c>
      <c r="L40" s="75"/>
      <c r="M40" s="708"/>
      <c r="N40" s="576"/>
      <c r="O40" s="593"/>
    </row>
    <row r="41" spans="2:16" s="110" customFormat="1" ht="24.9" hidden="1" customHeight="1" outlineLevel="2" collapsed="1">
      <c r="B41" s="1607"/>
      <c r="C41" s="564"/>
      <c r="D41" s="564"/>
      <c r="E41" s="1516" t="s">
        <v>679</v>
      </c>
      <c r="F41" s="1516"/>
      <c r="G41" s="564"/>
      <c r="H41" s="565"/>
      <c r="I41" s="124"/>
      <c r="J41" s="126">
        <f>IF('Informations complémentaire'!$G$10="Oui",J42+J43+J45+J46+J47-J48,J44+J45+J46+J47-J48)</f>
        <v>4774000</v>
      </c>
      <c r="K41" s="128">
        <f>IF('Informations complémentaire'!$G$10="Oui",K42+K43+K45+K46+K47-K48,K44+K45+K46+K47-K48)</f>
        <v>4805200</v>
      </c>
      <c r="L41" s="128">
        <f>J41-K41</f>
        <v>-31200</v>
      </c>
      <c r="M41" s="709">
        <f>IF(K41&lt;&gt;0,(J41-K41)/K41,"")</f>
        <v>-6.4929659535503201E-3</v>
      </c>
      <c r="N41" s="576"/>
      <c r="O41" s="593"/>
      <c r="P41" s="604"/>
    </row>
    <row r="42" spans="2:16" s="110" customFormat="1" ht="25.5" hidden="1" customHeight="1" outlineLevel="3">
      <c r="B42" s="1607"/>
      <c r="C42" s="564"/>
      <c r="D42" s="564"/>
      <c r="E42" s="1609" t="s">
        <v>781</v>
      </c>
      <c r="F42" s="38" t="s">
        <v>698</v>
      </c>
      <c r="G42" s="564"/>
      <c r="H42" s="565"/>
      <c r="I42" s="124"/>
      <c r="J42" s="125">
        <f>IF('Informations complémentaire'!$G$10="Oui",'2050 Actif'!J33,0)</f>
        <v>3930000</v>
      </c>
      <c r="K42" s="75">
        <f>IF('Informations complémentaire'!$G$12="Oui",IF('Informations complémentaire'!$G$10="Oui",'2050 Actif'!O33,0),IF('Informations complémentaire'!$G$10="Oui",'2050 Actif'!S33+'2056 Dépréciations e provisions'!H34,0))</f>
        <v>2550000</v>
      </c>
      <c r="L42" s="75"/>
      <c r="M42" s="708"/>
      <c r="N42" s="576"/>
      <c r="O42" s="593"/>
    </row>
    <row r="43" spans="2:16" s="110" customFormat="1" hidden="1" outlineLevel="3">
      <c r="B43" s="1607"/>
      <c r="C43" s="564"/>
      <c r="D43" s="564"/>
      <c r="E43" s="1609"/>
      <c r="F43" s="39" t="s">
        <v>1705</v>
      </c>
      <c r="G43" s="564"/>
      <c r="H43" s="565"/>
      <c r="I43" s="618" t="s">
        <v>701</v>
      </c>
      <c r="J43" s="125">
        <f>IF('Informations complémentaire'!$G$10="Oui",'2050 Actif'!J34-'Informations complémentaire'!G52,0)</f>
        <v>0</v>
      </c>
      <c r="K43" s="75">
        <f>IF('Informations complémentaire'!$G$12="Oui",IF('Informations complémentaire'!$G$10="Oui",'2050 Actif'!O34-'Informations complémentaire'!H52,0),IF('Informations complémentaire'!$G$10="Oui",'2050 Actif'!S34+'2056 Dépréciations e provisions'!H35-'Informations complémentaire'!H52,0))</f>
        <v>0</v>
      </c>
      <c r="L43" s="75"/>
      <c r="M43" s="708"/>
      <c r="N43" s="576"/>
      <c r="O43" s="593"/>
    </row>
    <row r="44" spans="2:16" s="116" customFormat="1" ht="39.6" hidden="1" outlineLevel="3">
      <c r="B44" s="1607"/>
      <c r="C44" s="564"/>
      <c r="D44" s="564"/>
      <c r="E44" s="566" t="s">
        <v>780</v>
      </c>
      <c r="F44" s="39" t="s">
        <v>1698</v>
      </c>
      <c r="G44" s="564"/>
      <c r="H44" s="565"/>
      <c r="I44" s="617" t="s">
        <v>791</v>
      </c>
      <c r="J44" s="125">
        <f>IF('Informations complémentaire'!$G$10="Non",'2050 Actif'!J48+'2050 Actif'!J49,0)</f>
        <v>0</v>
      </c>
      <c r="K44" s="75">
        <f>IF('Informations complémentaire'!$G$12="Oui",IF('Informations complémentaire'!$G$10="Non",'2050 Actif'!T48+'2050 Actif'!T49,0),IF('Informations complémentaire'!$G$10="Non",'2050 Actif'!K48+'2050 Actif'!K49,0))</f>
        <v>0</v>
      </c>
      <c r="L44" s="75"/>
      <c r="M44" s="708"/>
      <c r="N44" s="576"/>
      <c r="O44" s="593"/>
    </row>
    <row r="45" spans="2:16" s="110" customFormat="1" hidden="1" outlineLevel="3">
      <c r="B45" s="1607"/>
      <c r="C45" s="564"/>
      <c r="D45" s="564"/>
      <c r="E45" s="38"/>
      <c r="F45" s="39" t="s">
        <v>703</v>
      </c>
      <c r="G45" s="564"/>
      <c r="H45" s="565"/>
      <c r="I45" s="124"/>
      <c r="J45" s="125">
        <f>'Informations complémentaire'!G49</f>
        <v>44000</v>
      </c>
      <c r="K45" s="75">
        <f>'Informations complémentaire'!H49</f>
        <v>1455200</v>
      </c>
      <c r="L45" s="75"/>
      <c r="M45" s="708"/>
      <c r="N45" s="576"/>
      <c r="O45" s="585"/>
    </row>
    <row r="46" spans="2:16" s="110" customFormat="1" ht="52.8" hidden="1" outlineLevel="3">
      <c r="B46" s="1607"/>
      <c r="C46" s="564"/>
      <c r="D46" s="564"/>
      <c r="E46" s="38"/>
      <c r="F46" s="594" t="s">
        <v>699</v>
      </c>
      <c r="G46" s="564"/>
      <c r="H46" s="565"/>
      <c r="I46" s="617" t="s">
        <v>810</v>
      </c>
      <c r="J46" s="125">
        <f>'Informations complémentaire'!G47</f>
        <v>800000</v>
      </c>
      <c r="K46" s="75">
        <f>'Informations complémentaire'!H47</f>
        <v>800000</v>
      </c>
      <c r="L46" s="75"/>
      <c r="M46" s="708"/>
      <c r="N46" s="576"/>
      <c r="O46" s="585"/>
    </row>
    <row r="47" spans="2:16" s="110" customFormat="1" hidden="1" outlineLevel="3">
      <c r="B47" s="1607"/>
      <c r="C47" s="564"/>
      <c r="D47" s="564"/>
      <c r="E47" s="38"/>
      <c r="F47" s="598" t="s">
        <v>708</v>
      </c>
      <c r="G47" s="564"/>
      <c r="H47" s="565"/>
      <c r="I47" s="124"/>
      <c r="J47" s="125">
        <f>'Informations complémentaire'!G86</f>
        <v>0</v>
      </c>
      <c r="K47" s="75">
        <f>'Informations complémentaire'!H86</f>
        <v>0</v>
      </c>
      <c r="L47" s="75"/>
      <c r="M47" s="708"/>
      <c r="N47" s="576"/>
      <c r="O47" s="585"/>
    </row>
    <row r="48" spans="2:16" s="110" customFormat="1" hidden="1" outlineLevel="3">
      <c r="B48" s="1607"/>
      <c r="C48" s="564"/>
      <c r="D48" s="564"/>
      <c r="E48" s="38"/>
      <c r="F48" s="598" t="s">
        <v>709</v>
      </c>
      <c r="G48" s="564"/>
      <c r="H48" s="565"/>
      <c r="I48" s="124"/>
      <c r="J48" s="125">
        <f>'Informations complémentaire'!G97</f>
        <v>0</v>
      </c>
      <c r="K48" s="75">
        <f>'Informations complémentaire'!H97</f>
        <v>0</v>
      </c>
      <c r="L48" s="75"/>
      <c r="M48" s="708"/>
      <c r="N48" s="576"/>
      <c r="O48" s="585"/>
    </row>
    <row r="49" spans="1:15" s="589" customFormat="1" ht="27" customHeight="1" outlineLevel="1" collapsed="1">
      <c r="B49" s="1607"/>
      <c r="C49" s="131"/>
      <c r="D49" s="1587" t="s">
        <v>1683</v>
      </c>
      <c r="E49" s="1587"/>
      <c r="F49" s="1587"/>
      <c r="G49" s="131"/>
      <c r="H49" s="591"/>
      <c r="I49" s="620"/>
      <c r="J49" s="627">
        <f>J50</f>
        <v>90000</v>
      </c>
      <c r="K49" s="160">
        <f>K50</f>
        <v>-1455200</v>
      </c>
      <c r="L49" s="689">
        <f>J49-K49</f>
        <v>1545200</v>
      </c>
      <c r="M49" s="715">
        <f>IF(K49&lt;&gt;0,(J49-K49)/K49,"")</f>
        <v>-1.0618471687740516</v>
      </c>
      <c r="N49" s="592"/>
      <c r="O49" s="593"/>
    </row>
    <row r="50" spans="1:15" s="110" customFormat="1" ht="24.9" hidden="1" customHeight="1" outlineLevel="2" collapsed="1">
      <c r="B50" s="1607"/>
      <c r="C50" s="564"/>
      <c r="D50" s="564"/>
      <c r="E50" s="1516" t="s">
        <v>680</v>
      </c>
      <c r="F50" s="1516"/>
      <c r="G50" s="564"/>
      <c r="H50" s="565"/>
      <c r="I50" s="124"/>
      <c r="J50" s="126">
        <f>IF('Informations complémentaire'!$G$10="Oui",J51+J53+J54+J55+J56+J57+J58-J59,J52+J53+J54+J55+J56+J57+J58-J59)</f>
        <v>90000</v>
      </c>
      <c r="K50" s="128">
        <f>IF('Informations complémentaire'!$G$10="Oui",K51+K53+K54+K55+K56+K57+K58-K59,K52+K53+K54+K55+K56+K57+K58-K59)</f>
        <v>-1455200</v>
      </c>
      <c r="L50" s="128">
        <f>J50-K50</f>
        <v>1545200</v>
      </c>
      <c r="M50" s="709">
        <f>IF(K50&lt;&gt;0,(J50-K50)/K50,"")</f>
        <v>-1.0618471687740516</v>
      </c>
      <c r="N50" s="576"/>
      <c r="O50" s="585"/>
    </row>
    <row r="51" spans="1:15" s="110" customFormat="1" ht="26.4" hidden="1" outlineLevel="3">
      <c r="B51" s="1607"/>
      <c r="C51" s="564"/>
      <c r="D51" s="564"/>
      <c r="E51" s="119" t="s">
        <v>781</v>
      </c>
      <c r="F51" s="38" t="s">
        <v>700</v>
      </c>
      <c r="G51" s="564"/>
      <c r="H51" s="565"/>
      <c r="I51" s="618" t="s">
        <v>701</v>
      </c>
      <c r="J51" s="125">
        <f>IF('Informations complémentaire'!$G$10="Oui",'Informations complémentaire'!G52,0)</f>
        <v>0</v>
      </c>
      <c r="K51" s="75">
        <f>IF('Informations complémentaire'!$G$10="Oui",'Informations complémentaire'!H52,0)</f>
        <v>0</v>
      </c>
      <c r="L51" s="75"/>
      <c r="M51" s="708"/>
      <c r="N51" s="576"/>
      <c r="O51" s="585"/>
    </row>
    <row r="52" spans="1:15" s="116" customFormat="1" ht="39.6" hidden="1" outlineLevel="3">
      <c r="B52" s="1607"/>
      <c r="C52" s="564"/>
      <c r="D52" s="564"/>
      <c r="E52" s="119" t="s">
        <v>780</v>
      </c>
      <c r="F52" s="38" t="s">
        <v>792</v>
      </c>
      <c r="G52" s="564"/>
      <c r="H52" s="565"/>
      <c r="I52" s="618"/>
      <c r="J52" s="125">
        <f>IF('Informations complémentaire'!$G$10="Non",'2050 Actif'!J50,0)</f>
        <v>0</v>
      </c>
      <c r="K52" s="75">
        <f>IF('Informations complémentaire'!$G$12="Oui",'2050 Actif'!O50,'2050 Actif'!S50)</f>
        <v>0</v>
      </c>
      <c r="L52" s="75"/>
      <c r="M52" s="708"/>
      <c r="N52" s="576"/>
      <c r="O52" s="585"/>
    </row>
    <row r="53" spans="1:15" s="110" customFormat="1" ht="26.4" hidden="1" outlineLevel="3">
      <c r="B53" s="1607"/>
      <c r="C53" s="564"/>
      <c r="D53" s="564"/>
      <c r="E53" s="38"/>
      <c r="F53" s="39" t="s">
        <v>705</v>
      </c>
      <c r="G53" s="564"/>
      <c r="H53" s="565"/>
      <c r="I53" s="617" t="s">
        <v>702</v>
      </c>
      <c r="J53" s="125">
        <f>'2050 Actif'!J35</f>
        <v>0</v>
      </c>
      <c r="K53" s="75">
        <f>IF('Informations complémentaire'!$G$12="Oui",'2050 Actif'!O35,'2050 Actif'!S35)</f>
        <v>0</v>
      </c>
      <c r="L53" s="75"/>
      <c r="M53" s="708"/>
      <c r="N53" s="576"/>
      <c r="O53" s="585"/>
    </row>
    <row r="54" spans="1:15" s="110" customFormat="1" hidden="1" outlineLevel="3">
      <c r="B54" s="1607"/>
      <c r="C54" s="564"/>
      <c r="D54" s="564"/>
      <c r="E54" s="38"/>
      <c r="F54" s="39" t="s">
        <v>716</v>
      </c>
      <c r="G54" s="564"/>
      <c r="H54" s="565"/>
      <c r="I54" s="124" t="s">
        <v>806</v>
      </c>
      <c r="J54" s="125">
        <f>'2050 Actif'!J36-'Informations complémentaire'!G107</f>
        <v>90000</v>
      </c>
      <c r="K54" s="75">
        <f>IF('Informations complémentaire'!$G$12="Oui",'2050 Actif'!O36-'Informations complémentaire'!H107,'2050 Actif'!S36-'Informations complémentaire'!H107)</f>
        <v>0</v>
      </c>
      <c r="L54" s="75"/>
      <c r="M54" s="708"/>
      <c r="N54" s="576"/>
      <c r="O54" s="585"/>
    </row>
    <row r="55" spans="1:15" s="110" customFormat="1" hidden="1" outlineLevel="3">
      <c r="B55" s="1607"/>
      <c r="C55" s="564"/>
      <c r="D55" s="564"/>
      <c r="E55" s="38"/>
      <c r="F55" s="39" t="s">
        <v>704</v>
      </c>
      <c r="G55" s="564"/>
      <c r="H55" s="565"/>
      <c r="I55" s="618" t="s">
        <v>730</v>
      </c>
      <c r="J55" s="125">
        <f>'2050 Actif'!J39-'Informations complémentaire'!G49</f>
        <v>0</v>
      </c>
      <c r="K55" s="75">
        <f>IF('Informations complémentaire'!$G$12="Oui",'2050 Actif'!O39-'Informations complémentaire'!H49,'2050 Actif'!S39-'Informations complémentaire'!H49)</f>
        <v>-1455200</v>
      </c>
      <c r="L55" s="75"/>
      <c r="M55" s="708"/>
      <c r="N55" s="576"/>
      <c r="O55" s="585"/>
    </row>
    <row r="56" spans="1:15" s="110" customFormat="1" hidden="1" outlineLevel="3">
      <c r="B56" s="1607"/>
      <c r="C56" s="564"/>
      <c r="D56" s="564"/>
      <c r="E56" s="38"/>
      <c r="F56" s="597" t="s">
        <v>706</v>
      </c>
      <c r="G56" s="564"/>
      <c r="H56" s="565"/>
      <c r="I56" s="618" t="s">
        <v>811</v>
      </c>
      <c r="J56" s="125">
        <f>'Informations complémentaire'!G60</f>
        <v>0</v>
      </c>
      <c r="K56" s="75">
        <f>'Informations complémentaire'!H60</f>
        <v>0</v>
      </c>
      <c r="L56" s="75"/>
      <c r="M56" s="708"/>
      <c r="N56" s="576"/>
      <c r="O56" s="585"/>
    </row>
    <row r="57" spans="1:15" s="110" customFormat="1" hidden="1" outlineLevel="3">
      <c r="B57" s="1607"/>
      <c r="C57" s="564"/>
      <c r="D57" s="564"/>
      <c r="E57" s="38"/>
      <c r="F57" s="597" t="s">
        <v>707</v>
      </c>
      <c r="G57" s="564"/>
      <c r="H57" s="565"/>
      <c r="I57" s="618" t="s">
        <v>811</v>
      </c>
      <c r="J57" s="125">
        <f>'Informations complémentaire'!G61</f>
        <v>0</v>
      </c>
      <c r="K57" s="75">
        <f>'Informations complémentaire'!H61</f>
        <v>0</v>
      </c>
      <c r="L57" s="75"/>
      <c r="M57" s="708"/>
      <c r="N57" s="576"/>
      <c r="O57" s="585"/>
    </row>
    <row r="58" spans="1:15" s="110" customFormat="1" hidden="1" outlineLevel="3">
      <c r="B58" s="1607"/>
      <c r="C58" s="564"/>
      <c r="D58" s="564"/>
      <c r="E58" s="38"/>
      <c r="F58" s="598" t="s">
        <v>714</v>
      </c>
      <c r="G58" s="564"/>
      <c r="H58" s="565"/>
      <c r="I58" s="618"/>
      <c r="J58" s="125">
        <f>'Informations complémentaire'!G87</f>
        <v>0</v>
      </c>
      <c r="K58" s="75">
        <f>'Informations complémentaire'!H87</f>
        <v>0</v>
      </c>
      <c r="L58" s="75"/>
      <c r="M58" s="708"/>
      <c r="N58" s="576"/>
      <c r="O58" s="585"/>
    </row>
    <row r="59" spans="1:15" s="110" customFormat="1" hidden="1" outlineLevel="3">
      <c r="B59" s="1607"/>
      <c r="C59" s="564"/>
      <c r="D59" s="564"/>
      <c r="E59" s="38"/>
      <c r="F59" s="598" t="s">
        <v>715</v>
      </c>
      <c r="G59" s="564"/>
      <c r="H59" s="565"/>
      <c r="I59" s="618"/>
      <c r="J59" s="125">
        <f>'Informations complémentaire'!G98</f>
        <v>0</v>
      </c>
      <c r="K59" s="75">
        <f>'Informations complémentaire'!H98</f>
        <v>0</v>
      </c>
      <c r="L59" s="75"/>
      <c r="M59" s="708"/>
      <c r="N59" s="576"/>
      <c r="O59" s="585"/>
    </row>
    <row r="60" spans="1:15" s="110" customFormat="1" ht="24.9" customHeight="1" outlineLevel="1" collapsed="1" thickBot="1">
      <c r="B60" s="1607"/>
      <c r="C60" s="564"/>
      <c r="D60" s="1587" t="s">
        <v>681</v>
      </c>
      <c r="E60" s="1587"/>
      <c r="F60" s="1587"/>
      <c r="G60" s="564"/>
      <c r="H60" s="565"/>
      <c r="I60" s="124"/>
      <c r="J60" s="690">
        <f>J61+J62</f>
        <v>990000</v>
      </c>
      <c r="K60" s="689">
        <f>K61+K62</f>
        <v>85800</v>
      </c>
      <c r="L60" s="689">
        <f>J60-K60</f>
        <v>904200</v>
      </c>
      <c r="M60" s="715">
        <f>IF(K60&lt;&gt;0,(J60-K60)/K60,"")</f>
        <v>10.538461538461538</v>
      </c>
      <c r="N60" s="576"/>
      <c r="O60" s="585"/>
    </row>
    <row r="61" spans="1:15" s="110" customFormat="1" hidden="1" outlineLevel="3">
      <c r="B61" s="1607"/>
      <c r="C61" s="564"/>
      <c r="D61" s="564"/>
      <c r="E61" s="38" t="s">
        <v>688</v>
      </c>
      <c r="F61" s="564"/>
      <c r="G61" s="564"/>
      <c r="H61" s="565"/>
      <c r="I61" s="124"/>
      <c r="J61" s="125">
        <f>'2050 Actif'!J38</f>
        <v>990000</v>
      </c>
      <c r="K61" s="75">
        <f>IF('Informations complémentaire'!$G$12="Oui",'2050 Actif'!O38,'2050 Actif'!S38)</f>
        <v>85800</v>
      </c>
      <c r="L61" s="75"/>
      <c r="M61" s="708"/>
      <c r="N61" s="576"/>
      <c r="O61" s="585"/>
    </row>
    <row r="62" spans="1:15" s="110" customFormat="1" ht="27" hidden="1" outlineLevel="3" thickBot="1">
      <c r="B62" s="1608"/>
      <c r="C62" s="562"/>
      <c r="D62" s="562"/>
      <c r="E62" s="558" t="s">
        <v>717</v>
      </c>
      <c r="F62" s="691"/>
      <c r="G62" s="691"/>
      <c r="H62" s="692"/>
      <c r="I62" s="693" t="s">
        <v>834</v>
      </c>
      <c r="J62" s="615">
        <f>'Informations complémentaire'!G107</f>
        <v>0</v>
      </c>
      <c r="K62" s="101">
        <f>'Informations complémentaire'!H107</f>
        <v>0</v>
      </c>
      <c r="L62" s="101"/>
      <c r="M62" s="717"/>
      <c r="N62" s="577"/>
      <c r="O62" s="585"/>
    </row>
    <row r="63" spans="1:15" s="110" customFormat="1" ht="21" customHeight="1" thickBot="1">
      <c r="A63" s="585"/>
      <c r="B63" s="121"/>
      <c r="C63" s="121"/>
      <c r="D63" s="121"/>
      <c r="E63" s="121"/>
      <c r="F63" s="829" t="s">
        <v>793</v>
      </c>
      <c r="G63" s="686"/>
      <c r="H63" s="602"/>
      <c r="I63" s="686"/>
      <c r="J63" s="694">
        <f>J6+J29</f>
        <v>23836000</v>
      </c>
      <c r="K63" s="695">
        <f>K6+K29</f>
        <v>17488800</v>
      </c>
      <c r="L63" s="695">
        <f>IF(K63&lt;&gt;0,(J63-K63),"")</f>
        <v>6347200</v>
      </c>
      <c r="M63" s="718">
        <f>IF(K63&lt;&gt;0,(J63-K63)/K63,"")</f>
        <v>0.36292941768446091</v>
      </c>
      <c r="N63" s="121"/>
      <c r="O63" s="585"/>
    </row>
    <row r="65" spans="2:15" ht="13.5" customHeight="1"/>
    <row r="66" spans="2:15" ht="7.5" customHeight="1" thickBot="1"/>
    <row r="67" spans="2:15" ht="33" customHeight="1" thickBot="1">
      <c r="B67" s="1611" t="s">
        <v>689</v>
      </c>
      <c r="C67" s="1612"/>
      <c r="D67" s="1612"/>
      <c r="E67" s="1612"/>
      <c r="F67" s="1613"/>
      <c r="G67" s="965" t="s">
        <v>43</v>
      </c>
      <c r="H67" s="61" t="s">
        <v>0</v>
      </c>
      <c r="I67" s="62" t="s">
        <v>120</v>
      </c>
      <c r="J67" s="461">
        <f>'Informations complémentaire'!D8</f>
        <v>2012</v>
      </c>
      <c r="K67" s="461">
        <f>IFERROR('Informations complémentaire'!D8-1,'Informations complémentaire'!D8&amp;" - 1")</f>
        <v>2011</v>
      </c>
      <c r="L67" s="623" t="s">
        <v>1682</v>
      </c>
      <c r="M67" s="623" t="s">
        <v>1929</v>
      </c>
      <c r="N67" s="588" t="s">
        <v>120</v>
      </c>
      <c r="O67" s="323"/>
    </row>
    <row r="68" spans="2:15" ht="32.1" customHeight="1">
      <c r="B68" s="1614" t="s">
        <v>689</v>
      </c>
      <c r="C68" s="1617" t="s">
        <v>690</v>
      </c>
      <c r="D68" s="1586"/>
      <c r="E68" s="1586"/>
      <c r="F68" s="1586"/>
      <c r="G68" s="681"/>
      <c r="H68" s="120"/>
      <c r="I68" s="616" t="s">
        <v>833</v>
      </c>
      <c r="J68" s="624">
        <f>J69+J78</f>
        <v>18360000</v>
      </c>
      <c r="K68" s="129">
        <f>K69+K78</f>
        <v>13023200</v>
      </c>
      <c r="L68" s="129">
        <f>J68-K68</f>
        <v>5336800</v>
      </c>
      <c r="M68" s="714">
        <f>IF(K68&lt;&gt;0,(J68-K68)/K68,"")</f>
        <v>0.40979175625038394</v>
      </c>
      <c r="N68" s="575"/>
      <c r="O68" s="585"/>
    </row>
    <row r="69" spans="2:15" ht="24.9" customHeight="1" outlineLevel="1" collapsed="1">
      <c r="B69" s="1615"/>
      <c r="C69" s="578"/>
      <c r="D69" s="1587" t="s">
        <v>691</v>
      </c>
      <c r="E69" s="1587"/>
      <c r="F69" s="1587"/>
      <c r="G69" s="682"/>
      <c r="H69" s="685"/>
      <c r="I69" s="124"/>
      <c r="J69" s="690">
        <f>J70+J71+J72+J73+J74+J75-J76-J77</f>
        <v>11880375</v>
      </c>
      <c r="K69" s="689">
        <f>IF('Informations complémentaire'!$G$12="Non",'Calcul intermédiaire'!J53,K70+K71+K72+K73+K74+K75-K76-K77)</f>
        <v>5405200</v>
      </c>
      <c r="L69" s="689">
        <f>J69-K69</f>
        <v>6475175</v>
      </c>
      <c r="M69" s="715">
        <f>IF(K69&lt;&gt;0,(J69-K69)/K69,"")</f>
        <v>1.1979528972100939</v>
      </c>
      <c r="N69" s="576"/>
      <c r="O69" s="585"/>
    </row>
    <row r="70" spans="2:15" ht="26.4" hidden="1" outlineLevel="3">
      <c r="B70" s="1615"/>
      <c r="C70" s="578"/>
      <c r="D70" s="682"/>
      <c r="E70" s="1605" t="s">
        <v>731</v>
      </c>
      <c r="F70" s="1605"/>
      <c r="G70" s="33" t="s">
        <v>800</v>
      </c>
      <c r="H70" s="685"/>
      <c r="I70" s="124"/>
      <c r="J70" s="125">
        <f>'2051 Passif'!L16</f>
        <v>8125475</v>
      </c>
      <c r="K70" s="75">
        <f>IF('Informations complémentaire'!$G$12="Oui",'2051 Passif'!M16,0)</f>
        <v>0</v>
      </c>
      <c r="L70" s="75"/>
      <c r="M70" s="708"/>
      <c r="N70" s="576"/>
      <c r="O70" s="585"/>
    </row>
    <row r="71" spans="2:15" ht="52.8" hidden="1" outlineLevel="3">
      <c r="B71" s="1615"/>
      <c r="C71" s="578"/>
      <c r="D71" s="682"/>
      <c r="E71" s="1589" t="s">
        <v>734</v>
      </c>
      <c r="F71" s="1589"/>
      <c r="G71" s="38" t="s">
        <v>742</v>
      </c>
      <c r="H71" s="685"/>
      <c r="I71" s="617" t="s">
        <v>801</v>
      </c>
      <c r="J71" s="125">
        <f>IF('Informations complémentaire'!$G$19="Oui",'2051 Passif'!L18,0)</f>
        <v>0</v>
      </c>
      <c r="K71" s="75">
        <f>IF('Informations complémentaire'!$G$12="Oui",IF('Informations complémentaire'!$G$19="Oui",'2051 Passif'!M18,0),0)</f>
        <v>0</v>
      </c>
      <c r="L71" s="75"/>
      <c r="M71" s="708"/>
      <c r="N71" s="576"/>
      <c r="O71" s="585"/>
    </row>
    <row r="72" spans="2:15" ht="26.4" hidden="1" outlineLevel="3">
      <c r="B72" s="1615"/>
      <c r="C72" s="578"/>
      <c r="D72" s="682"/>
      <c r="E72" s="1589" t="s">
        <v>732</v>
      </c>
      <c r="F72" s="1589"/>
      <c r="G72" s="33" t="s">
        <v>743</v>
      </c>
      <c r="H72" s="685"/>
      <c r="I72" s="124"/>
      <c r="J72" s="125">
        <f>'2051 Passif'!L23</f>
        <v>110900</v>
      </c>
      <c r="K72" s="75">
        <f>IF('Informations complémentaire'!$G$12="Oui",'2051 Passif'!M23,0)</f>
        <v>0</v>
      </c>
      <c r="L72" s="75"/>
      <c r="M72" s="708"/>
      <c r="N72" s="576"/>
      <c r="O72" s="585"/>
    </row>
    <row r="73" spans="2:15" hidden="1" outlineLevel="3">
      <c r="B73" s="1615"/>
      <c r="C73" s="578"/>
      <c r="D73" s="682"/>
      <c r="E73" s="1594" t="s">
        <v>835</v>
      </c>
      <c r="F73" s="1594"/>
      <c r="G73" s="38"/>
      <c r="H73" s="685"/>
      <c r="I73" s="618" t="s">
        <v>802</v>
      </c>
      <c r="J73" s="125">
        <f>'2050 Actif'!L44</f>
        <v>3644000</v>
      </c>
      <c r="K73" s="75">
        <f>IF('Informations complémentaire'!$G$12="Oui",'2050 Actif'!Q44,0)</f>
        <v>0</v>
      </c>
      <c r="L73" s="75"/>
      <c r="M73" s="708"/>
      <c r="N73" s="576"/>
      <c r="O73" s="585"/>
    </row>
    <row r="74" spans="2:15" ht="26.4" hidden="1" outlineLevel="3">
      <c r="B74" s="1615"/>
      <c r="C74" s="578"/>
      <c r="D74" s="682"/>
      <c r="E74" s="1595" t="s">
        <v>807</v>
      </c>
      <c r="F74" s="1595"/>
      <c r="G74" s="38"/>
      <c r="H74" s="685"/>
      <c r="I74" s="617" t="s">
        <v>808</v>
      </c>
      <c r="J74" s="125">
        <f>'Informations complémentaire'!G28</f>
        <v>0</v>
      </c>
      <c r="K74" s="75">
        <f>IF('Informations complémentaire'!$G$12="Oui",'Informations complémentaire'!H28,0)</f>
        <v>0</v>
      </c>
      <c r="L74" s="75"/>
      <c r="M74" s="708"/>
      <c r="N74" s="576"/>
      <c r="O74" s="585"/>
    </row>
    <row r="75" spans="2:15" ht="52.8" hidden="1" outlineLevel="3">
      <c r="B75" s="1615"/>
      <c r="C75" s="578"/>
      <c r="D75" s="494" t="s">
        <v>824</v>
      </c>
      <c r="E75" s="1598" t="s">
        <v>852</v>
      </c>
      <c r="F75" s="1598"/>
      <c r="G75" s="38"/>
      <c r="H75" s="685">
        <v>457</v>
      </c>
      <c r="I75" s="617" t="s">
        <v>827</v>
      </c>
      <c r="J75" s="125">
        <f>IF('Informations complémentaire'!$G$11="Oui",0,'Informations complémentaire'!G109)</f>
        <v>0</v>
      </c>
      <c r="K75" s="75">
        <f>IF('Informations complémentaire'!$G$12="Oui",IF('Informations complémentaire'!$G$11="Oui",0,'Informations complémentaire'!H109),0)</f>
        <v>0</v>
      </c>
      <c r="L75" s="75"/>
      <c r="M75" s="708"/>
      <c r="N75" s="576"/>
      <c r="O75" s="585"/>
    </row>
    <row r="76" spans="2:15" ht="26.4" hidden="1" outlineLevel="3">
      <c r="B76" s="1615"/>
      <c r="C76" s="578"/>
      <c r="D76" s="682"/>
      <c r="E76" s="1597" t="s">
        <v>733</v>
      </c>
      <c r="F76" s="1597"/>
      <c r="G76" s="38"/>
      <c r="H76" s="685">
        <v>109</v>
      </c>
      <c r="I76" s="617" t="s">
        <v>823</v>
      </c>
      <c r="J76" s="125">
        <f>'2050 Actif'!J6</f>
        <v>0</v>
      </c>
      <c r="K76" s="75">
        <f>IF('Informations complémentaire'!$G$12="Oui",'2050 Actif'!O6,0)</f>
        <v>0</v>
      </c>
      <c r="L76" s="75"/>
      <c r="M76" s="708"/>
      <c r="N76" s="576"/>
      <c r="O76" s="585"/>
    </row>
    <row r="77" spans="2:15" ht="26.4" hidden="1" outlineLevel="3">
      <c r="B77" s="1615"/>
      <c r="C77" s="578"/>
      <c r="D77" s="682"/>
      <c r="E77" s="1589" t="s">
        <v>870</v>
      </c>
      <c r="F77" s="1589"/>
      <c r="G77" s="38"/>
      <c r="H77" s="685"/>
      <c r="I77" s="617" t="s">
        <v>820</v>
      </c>
      <c r="J77" s="125">
        <f>IF('Informations complémentaire'!$G$18="non",'2050 Actif'!J41,0)</f>
        <v>0</v>
      </c>
      <c r="K77" s="75">
        <f>IF('Informations complémentaire'!$G$12="Oui",IF('Informations complémentaire'!$G$18="non",'2050 Actif'!O41,0),0)</f>
        <v>0</v>
      </c>
      <c r="L77" s="75"/>
      <c r="M77" s="708"/>
      <c r="N77" s="576"/>
      <c r="O77" s="585"/>
    </row>
    <row r="78" spans="2:15" ht="24.9" customHeight="1" outlineLevel="1" collapsed="1">
      <c r="B78" s="1615"/>
      <c r="C78" s="578"/>
      <c r="D78" s="1587" t="s">
        <v>692</v>
      </c>
      <c r="E78" s="1587"/>
      <c r="F78" s="1587"/>
      <c r="G78" s="682"/>
      <c r="H78" s="685"/>
      <c r="I78" s="124"/>
      <c r="J78" s="690">
        <f>J79+J80+J81+J82+J83+J84-J85-J86+J87+J88-J89+J90-J91-J92</f>
        <v>6479625</v>
      </c>
      <c r="K78" s="689">
        <f>K79+K80+K81+K82+K83+K84-K85-K86+K87+K88-K89+K90-K91-K92</f>
        <v>7618000</v>
      </c>
      <c r="L78" s="689">
        <f>J78-K78</f>
        <v>-1138375</v>
      </c>
      <c r="M78" s="715">
        <f>IF(K78&lt;&gt;0,(J78-K78)/K78,"")</f>
        <v>-0.1494322656865319</v>
      </c>
      <c r="N78" s="576"/>
      <c r="O78" s="593"/>
    </row>
    <row r="79" spans="2:15" hidden="1" outlineLevel="3">
      <c r="B79" s="1615"/>
      <c r="C79" s="578"/>
      <c r="D79" s="682"/>
      <c r="E79" s="1589" t="s">
        <v>735</v>
      </c>
      <c r="F79" s="1589"/>
      <c r="G79" s="38" t="s">
        <v>742</v>
      </c>
      <c r="H79" s="685"/>
      <c r="I79" s="124"/>
      <c r="J79" s="125">
        <f>IF('Informations complémentaire'!$G$19="Non",'2051 Passif'!L18,0)</f>
        <v>0</v>
      </c>
      <c r="K79" s="75">
        <f>IF('Informations complémentaire'!$G$19="Non",'2051 Passif'!M18,0)</f>
        <v>0</v>
      </c>
      <c r="L79" s="75"/>
      <c r="M79" s="708"/>
      <c r="N79" s="576"/>
      <c r="O79" s="585"/>
    </row>
    <row r="80" spans="2:15" hidden="1" outlineLevel="3">
      <c r="B80" s="1615"/>
      <c r="C80" s="578"/>
      <c r="D80" s="682"/>
      <c r="E80" s="1589" t="s">
        <v>736</v>
      </c>
      <c r="F80" s="1589"/>
      <c r="G80" s="38" t="s">
        <v>741</v>
      </c>
      <c r="H80" s="685"/>
      <c r="I80" s="124"/>
      <c r="J80" s="125">
        <f>'2051 Passif'!L17</f>
        <v>0</v>
      </c>
      <c r="K80" s="75">
        <f>'2051 Passif'!M17</f>
        <v>0</v>
      </c>
      <c r="L80" s="75"/>
      <c r="M80" s="708"/>
      <c r="N80" s="576"/>
      <c r="O80" s="585"/>
    </row>
    <row r="81" spans="2:15" hidden="1" outlineLevel="3">
      <c r="B81" s="1615"/>
      <c r="C81" s="578"/>
      <c r="D81" s="682"/>
      <c r="E81" s="1589" t="s">
        <v>739</v>
      </c>
      <c r="F81" s="1589"/>
      <c r="G81" s="38" t="s">
        <v>738</v>
      </c>
      <c r="H81" s="685"/>
      <c r="I81" s="124"/>
      <c r="J81" s="125">
        <f>'2051 Passif'!L24</f>
        <v>0</v>
      </c>
      <c r="K81" s="75">
        <f>'2051 Passif'!M24</f>
        <v>0</v>
      </c>
      <c r="L81" s="75"/>
      <c r="M81" s="708"/>
      <c r="N81" s="576"/>
      <c r="O81" s="585"/>
    </row>
    <row r="82" spans="2:15" hidden="1" outlineLevel="3">
      <c r="B82" s="1615"/>
      <c r="C82" s="578"/>
      <c r="D82" s="682"/>
      <c r="E82" s="1589" t="s">
        <v>740</v>
      </c>
      <c r="F82" s="1589"/>
      <c r="G82" s="38" t="s">
        <v>737</v>
      </c>
      <c r="H82" s="685"/>
      <c r="I82" s="124"/>
      <c r="J82" s="125">
        <f>'2051 Passif'!L25</f>
        <v>0</v>
      </c>
      <c r="K82" s="75">
        <f>'2051 Passif'!M25</f>
        <v>0</v>
      </c>
      <c r="L82" s="75"/>
      <c r="M82" s="708"/>
      <c r="N82" s="576"/>
      <c r="O82" s="585"/>
    </row>
    <row r="83" spans="2:15" ht="19.5" hidden="1" customHeight="1" outlineLevel="3">
      <c r="B83" s="1615"/>
      <c r="C83" s="578"/>
      <c r="D83" s="682"/>
      <c r="E83" s="1589" t="s">
        <v>744</v>
      </c>
      <c r="F83" s="1589"/>
      <c r="G83" s="33" t="s">
        <v>745</v>
      </c>
      <c r="H83" s="685"/>
      <c r="I83" s="124"/>
      <c r="J83" s="125">
        <f>'2051 Passif'!L26</f>
        <v>5079625</v>
      </c>
      <c r="K83" s="75">
        <f>'2051 Passif'!M26</f>
        <v>5968000</v>
      </c>
      <c r="L83" s="75"/>
      <c r="M83" s="708"/>
      <c r="N83" s="576"/>
      <c r="O83" s="585"/>
    </row>
    <row r="84" spans="2:15" ht="92.4" hidden="1" outlineLevel="3">
      <c r="B84" s="1615"/>
      <c r="C84" s="578"/>
      <c r="D84" s="682"/>
      <c r="E84" s="1589" t="s">
        <v>746</v>
      </c>
      <c r="F84" s="1589"/>
      <c r="G84" s="38" t="s">
        <v>747</v>
      </c>
      <c r="H84" s="685"/>
      <c r="I84" s="617" t="s">
        <v>1625</v>
      </c>
      <c r="J84" s="125">
        <f>'2051 Passif'!L27</f>
        <v>0</v>
      </c>
      <c r="K84" s="75">
        <f>'2051 Passif'!M27</f>
        <v>0</v>
      </c>
      <c r="L84" s="75"/>
      <c r="M84" s="708"/>
      <c r="N84" s="576"/>
      <c r="O84" s="585"/>
    </row>
    <row r="85" spans="2:15" ht="52.8" hidden="1" outlineLevel="3">
      <c r="B85" s="1615"/>
      <c r="C85" s="578"/>
      <c r="D85" s="682"/>
      <c r="E85" s="1589" t="s">
        <v>750</v>
      </c>
      <c r="F85" s="1589"/>
      <c r="G85" s="33" t="s">
        <v>752</v>
      </c>
      <c r="H85" s="684" t="s">
        <v>751</v>
      </c>
      <c r="I85" s="617" t="s">
        <v>1621</v>
      </c>
      <c r="J85" s="125">
        <f>'Informations complémentaire'!G62</f>
        <v>0</v>
      </c>
      <c r="K85" s="75">
        <f>'Informations complémentaire'!H62</f>
        <v>0</v>
      </c>
      <c r="L85" s="75"/>
      <c r="M85" s="708"/>
      <c r="N85" s="576"/>
      <c r="O85" s="585"/>
    </row>
    <row r="86" spans="2:15" ht="39.6" hidden="1" outlineLevel="3">
      <c r="B86" s="1615"/>
      <c r="C86" s="578"/>
      <c r="D86" s="682"/>
      <c r="E86" s="1597" t="s">
        <v>748</v>
      </c>
      <c r="F86" s="1597"/>
      <c r="G86" s="33" t="s">
        <v>749</v>
      </c>
      <c r="H86" s="685">
        <v>169</v>
      </c>
      <c r="I86" s="617" t="s">
        <v>822</v>
      </c>
      <c r="J86" s="125">
        <f>'2050 Actif'!J42</f>
        <v>0</v>
      </c>
      <c r="K86" s="75">
        <f>'2050 Actif'!S42</f>
        <v>0</v>
      </c>
      <c r="L86" s="75"/>
      <c r="M86" s="708"/>
      <c r="N86" s="576"/>
      <c r="O86" s="585"/>
    </row>
    <row r="87" spans="2:15" ht="79.2" hidden="1" outlineLevel="3">
      <c r="B87" s="1615"/>
      <c r="C87" s="578"/>
      <c r="D87" s="682"/>
      <c r="E87" s="1595" t="s">
        <v>753</v>
      </c>
      <c r="F87" s="1595"/>
      <c r="G87" s="682"/>
      <c r="H87" s="685"/>
      <c r="I87" s="617" t="s">
        <v>809</v>
      </c>
      <c r="J87" s="125">
        <f>IF('Informations complémentaire'!$G$20="Oui",'Informations complémentaire'!G24-'Informations complémentaire'!G28,'Informations complémentaire'!G24-'Informations complémentaire'!G25-'Informations complémentaire'!G28)</f>
        <v>1400000</v>
      </c>
      <c r="K87" s="75">
        <f>IF('Informations complémentaire'!$G$20="Oui",'Informations complémentaire'!H24-'Informations complémentaire'!H28,'Informations complémentaire'!H24-'Informations complémentaire'!H25-'Informations complémentaire'!H28)</f>
        <v>1650000</v>
      </c>
      <c r="L87" s="75"/>
      <c r="M87" s="708"/>
      <c r="N87" s="576"/>
      <c r="O87" s="585"/>
    </row>
    <row r="88" spans="2:15" hidden="1" outlineLevel="3">
      <c r="B88" s="1615"/>
      <c r="C88" s="578"/>
      <c r="D88" s="682"/>
      <c r="E88" s="1596" t="s">
        <v>813</v>
      </c>
      <c r="F88" s="1596"/>
      <c r="G88" s="682"/>
      <c r="H88" s="685"/>
      <c r="I88" s="124"/>
      <c r="J88" s="125">
        <f>'Informations complémentaire'!G100</f>
        <v>0</v>
      </c>
      <c r="K88" s="75">
        <f>'Informations complémentaire'!H100</f>
        <v>0</v>
      </c>
      <c r="L88" s="75"/>
      <c r="M88" s="708"/>
      <c r="N88" s="576"/>
      <c r="O88" s="585"/>
    </row>
    <row r="89" spans="2:15" hidden="1" outlineLevel="3">
      <c r="B89" s="1615"/>
      <c r="C89" s="578"/>
      <c r="D89" s="682"/>
      <c r="E89" s="1596" t="s">
        <v>814</v>
      </c>
      <c r="F89" s="1596"/>
      <c r="G89" s="682"/>
      <c r="H89" s="685"/>
      <c r="I89" s="124"/>
      <c r="J89" s="125">
        <f>'Informations complémentaire'!G89</f>
        <v>0</v>
      </c>
      <c r="K89" s="75">
        <f>'Informations complémentaire'!H89</f>
        <v>0</v>
      </c>
      <c r="L89" s="75"/>
      <c r="M89" s="708"/>
      <c r="N89" s="576"/>
      <c r="O89" s="585"/>
    </row>
    <row r="90" spans="2:15" ht="87.6" hidden="1" outlineLevel="3">
      <c r="B90" s="1615"/>
      <c r="C90" s="578"/>
      <c r="D90" s="688" t="s">
        <v>780</v>
      </c>
      <c r="E90" s="1589" t="s">
        <v>759</v>
      </c>
      <c r="F90" s="1589"/>
      <c r="G90" s="33" t="s">
        <v>1627</v>
      </c>
      <c r="H90" s="684" t="s">
        <v>754</v>
      </c>
      <c r="I90" s="619" t="s">
        <v>1628</v>
      </c>
      <c r="J90" s="125">
        <f>IF('Informations complémentaire'!$G$10="Non",'Informations complémentaire'!G56,0)</f>
        <v>0</v>
      </c>
      <c r="K90" s="75">
        <f>IF('Informations complémentaire'!$G$10="Non",'Informations complémentaire'!H56,0)</f>
        <v>0</v>
      </c>
      <c r="L90" s="75"/>
      <c r="M90" s="708"/>
      <c r="N90" s="576"/>
      <c r="O90" s="593"/>
    </row>
    <row r="91" spans="2:15" ht="78" hidden="1" customHeight="1" outlineLevel="3">
      <c r="B91" s="1615"/>
      <c r="C91" s="578"/>
      <c r="D91" s="688" t="s">
        <v>781</v>
      </c>
      <c r="E91" s="1589" t="s">
        <v>758</v>
      </c>
      <c r="F91" s="1589"/>
      <c r="G91" s="33" t="s">
        <v>1626</v>
      </c>
      <c r="H91" s="684" t="s">
        <v>754</v>
      </c>
      <c r="I91" s="619" t="s">
        <v>1629</v>
      </c>
      <c r="J91" s="125">
        <f>IF('Informations complémentaire'!$G$10="Oui",'Informations complémentaire'!G57,0)</f>
        <v>0</v>
      </c>
      <c r="K91" s="75">
        <f>IF('Informations complémentaire'!$G$10="Oui",'Informations complémentaire'!H57,0)</f>
        <v>0</v>
      </c>
      <c r="L91" s="75"/>
      <c r="M91" s="708"/>
      <c r="N91" s="576"/>
      <c r="O91" s="593"/>
    </row>
    <row r="92" spans="2:15" hidden="1" outlineLevel="3">
      <c r="B92" s="1615"/>
      <c r="C92" s="578"/>
      <c r="D92" s="682"/>
      <c r="E92" s="39" t="s">
        <v>755</v>
      </c>
      <c r="F92" s="682"/>
      <c r="G92" s="682"/>
      <c r="H92" s="685"/>
      <c r="I92" s="617" t="s">
        <v>756</v>
      </c>
      <c r="J92" s="125">
        <f>'Informations complémentaire'!G58</f>
        <v>0</v>
      </c>
      <c r="K92" s="75">
        <f>'Informations complémentaire'!H58</f>
        <v>0</v>
      </c>
      <c r="L92" s="75"/>
      <c r="M92" s="708"/>
      <c r="N92" s="576"/>
      <c r="O92" s="585"/>
    </row>
    <row r="93" spans="2:15" ht="32.1" customHeight="1">
      <c r="B93" s="1615"/>
      <c r="C93" s="1618" t="s">
        <v>693</v>
      </c>
      <c r="D93" s="1588"/>
      <c r="E93" s="1588"/>
      <c r="F93" s="1588"/>
      <c r="G93" s="682"/>
      <c r="H93" s="685"/>
      <c r="I93" s="124"/>
      <c r="J93" s="625">
        <f>J95+J99+J111+J124</f>
        <v>5626000</v>
      </c>
      <c r="K93" s="127">
        <f>K95+K99+K111+K124</f>
        <v>4399700</v>
      </c>
      <c r="L93" s="127">
        <f>J93-K93</f>
        <v>1226300</v>
      </c>
      <c r="M93" s="716">
        <f>IF(K93&lt;&gt;0,(J93-K93)/K93,"")</f>
        <v>0.27872354933290905</v>
      </c>
      <c r="N93" s="576"/>
      <c r="O93" s="585"/>
    </row>
    <row r="94" spans="2:15" s="589" customFormat="1" ht="32.1" customHeight="1" outlineLevel="1" collapsed="1">
      <c r="B94" s="1615"/>
      <c r="C94" s="601"/>
      <c r="D94" s="1587" t="s">
        <v>2021</v>
      </c>
      <c r="E94" s="1587"/>
      <c r="F94" s="1587"/>
      <c r="G94" s="131"/>
      <c r="H94" s="591"/>
      <c r="I94" s="620"/>
      <c r="J94" s="690">
        <f>J95+J99</f>
        <v>4826000</v>
      </c>
      <c r="K94" s="689">
        <f>K95+K99</f>
        <v>3599700</v>
      </c>
      <c r="L94" s="689">
        <f>J94-K94</f>
        <v>1226300</v>
      </c>
      <c r="M94" s="715">
        <f>IF(K94&lt;&gt;0,(J94-K94)/K94,"")</f>
        <v>0.34066727782870793</v>
      </c>
      <c r="N94" s="592"/>
      <c r="O94" s="593"/>
    </row>
    <row r="95" spans="2:15" ht="24.9" hidden="1" customHeight="1" outlineLevel="2" collapsed="1">
      <c r="B95" s="1615"/>
      <c r="C95" s="578"/>
      <c r="D95" s="682"/>
      <c r="E95" s="1516" t="s">
        <v>694</v>
      </c>
      <c r="F95" s="1516"/>
      <c r="G95" s="682"/>
      <c r="H95" s="685"/>
      <c r="I95" s="124"/>
      <c r="J95" s="126">
        <f>J96+J97-J98</f>
        <v>0</v>
      </c>
      <c r="K95" s="128">
        <f>K96+K97-K98</f>
        <v>0</v>
      </c>
      <c r="L95" s="128">
        <f>J95-K95</f>
        <v>0</v>
      </c>
      <c r="M95" s="709" t="str">
        <f>IF(K95&lt;&gt;0,(J95-K95)/K95,"")</f>
        <v/>
      </c>
      <c r="N95" s="576"/>
      <c r="O95" s="585"/>
    </row>
    <row r="96" spans="2:15" hidden="1" outlineLevel="3">
      <c r="B96" s="1615"/>
      <c r="C96" s="578"/>
      <c r="D96" s="682"/>
      <c r="E96" s="682"/>
      <c r="F96" s="38" t="s">
        <v>757</v>
      </c>
      <c r="G96" s="682"/>
      <c r="H96" s="685"/>
      <c r="I96" s="124"/>
      <c r="J96" s="125">
        <f>'2051 Passif'!L28</f>
        <v>0</v>
      </c>
      <c r="K96" s="75">
        <f>'2051 Passif'!M28</f>
        <v>0</v>
      </c>
      <c r="L96" s="75"/>
      <c r="M96" s="708"/>
      <c r="N96" s="576"/>
      <c r="O96" s="585"/>
    </row>
    <row r="97" spans="2:15" hidden="1" outlineLevel="3">
      <c r="B97" s="1615"/>
      <c r="C97" s="578"/>
      <c r="D97" s="682"/>
      <c r="E97" s="682"/>
      <c r="F97" s="112" t="s">
        <v>817</v>
      </c>
      <c r="G97" s="682"/>
      <c r="H97" s="685"/>
      <c r="I97" s="124"/>
      <c r="J97" s="125">
        <f>'Informations complémentaire'!G103</f>
        <v>0</v>
      </c>
      <c r="K97" s="75">
        <f>'Informations complémentaire'!H103</f>
        <v>0</v>
      </c>
      <c r="L97" s="75"/>
      <c r="M97" s="708"/>
      <c r="N97" s="576"/>
      <c r="O97" s="585"/>
    </row>
    <row r="98" spans="2:15" hidden="1" outlineLevel="3">
      <c r="B98" s="1615"/>
      <c r="C98" s="578"/>
      <c r="D98" s="682"/>
      <c r="E98" s="682"/>
      <c r="F98" s="112" t="s">
        <v>818</v>
      </c>
      <c r="G98" s="682"/>
      <c r="H98" s="685"/>
      <c r="I98" s="124"/>
      <c r="J98" s="125">
        <f>'Informations complémentaire'!G92</f>
        <v>0</v>
      </c>
      <c r="K98" s="75">
        <f>'Informations complémentaire'!H92</f>
        <v>0</v>
      </c>
      <c r="L98" s="75"/>
      <c r="M98" s="708"/>
      <c r="N98" s="576"/>
      <c r="O98" s="585"/>
    </row>
    <row r="99" spans="2:15" ht="24.9" hidden="1" customHeight="1" outlineLevel="2" collapsed="1">
      <c r="B99" s="1615"/>
      <c r="C99" s="578"/>
      <c r="D99" s="682"/>
      <c r="E99" s="1516" t="s">
        <v>695</v>
      </c>
      <c r="F99" s="1516"/>
      <c r="G99" s="682"/>
      <c r="H99" s="685"/>
      <c r="I99" s="124"/>
      <c r="J99" s="126">
        <f>J100+J101-J102+J103-J104+J106+J107-J108-J109</f>
        <v>4826000</v>
      </c>
      <c r="K99" s="128">
        <f>K100+K101-K102+K103-K104+K106+K107-K108-K109</f>
        <v>3599700</v>
      </c>
      <c r="L99" s="128">
        <f>J99-K99</f>
        <v>1226300</v>
      </c>
      <c r="M99" s="709">
        <f>IF(K99&lt;&gt;0,(J99-K99)/K99,"")</f>
        <v>0.34066727782870793</v>
      </c>
      <c r="N99" s="576"/>
      <c r="O99" s="585"/>
    </row>
    <row r="100" spans="2:15" ht="26.4" hidden="1" outlineLevel="3">
      <c r="B100" s="1615"/>
      <c r="C100" s="578"/>
      <c r="D100" s="682"/>
      <c r="E100" s="1619" t="s">
        <v>781</v>
      </c>
      <c r="F100" s="38" t="s">
        <v>766</v>
      </c>
      <c r="G100" s="33" t="s">
        <v>767</v>
      </c>
      <c r="H100" s="685"/>
      <c r="I100" s="124"/>
      <c r="J100" s="125">
        <f>IF('Informations complémentaire'!$G$10="Oui",'2051 Passif'!L29,0)</f>
        <v>3940000</v>
      </c>
      <c r="K100" s="75">
        <f>IF('Informations complémentaire'!$G$10="Oui",'2051 Passif'!M29,0)</f>
        <v>3000000</v>
      </c>
      <c r="L100" s="75"/>
      <c r="M100" s="708"/>
      <c r="N100" s="576"/>
      <c r="O100" s="585"/>
    </row>
    <row r="101" spans="2:15" hidden="1" outlineLevel="3">
      <c r="B101" s="1615"/>
      <c r="C101" s="578"/>
      <c r="D101" s="682"/>
      <c r="E101" s="1619"/>
      <c r="F101" s="39" t="s">
        <v>768</v>
      </c>
      <c r="G101" s="38" t="s">
        <v>769</v>
      </c>
      <c r="H101" s="685"/>
      <c r="I101" s="124"/>
      <c r="J101" s="125">
        <f>IF('Informations complémentaire'!$G$10="Oui",'2051 Passif'!L30,0)</f>
        <v>794000</v>
      </c>
      <c r="K101" s="75">
        <f>IF('Informations complémentaire'!$G$10="Oui",'2051 Passif'!M30,0)</f>
        <v>580000</v>
      </c>
      <c r="L101" s="75"/>
      <c r="M101" s="708"/>
      <c r="N101" s="576"/>
      <c r="O101" s="585"/>
    </row>
    <row r="102" spans="2:15" ht="79.8" hidden="1" outlineLevel="3">
      <c r="B102" s="1615"/>
      <c r="C102" s="578"/>
      <c r="D102" s="682"/>
      <c r="E102" s="1619"/>
      <c r="F102" s="39" t="s">
        <v>830</v>
      </c>
      <c r="G102" s="33" t="s">
        <v>783</v>
      </c>
      <c r="H102" s="685">
        <v>444</v>
      </c>
      <c r="I102" s="617" t="s">
        <v>1633</v>
      </c>
      <c r="J102" s="125">
        <f>IF('Informations complémentaire'!$G$10="Oui",'Informations complémentaire'!G54,0)</f>
        <v>0</v>
      </c>
      <c r="K102" s="75">
        <f>IF('Informations complémentaire'!$G$10="Oui",'Informations complémentaire'!H54,0)</f>
        <v>0</v>
      </c>
      <c r="L102" s="75"/>
      <c r="M102" s="708"/>
      <c r="N102" s="576"/>
      <c r="O102" s="585"/>
    </row>
    <row r="103" spans="2:15" ht="26.4" hidden="1" outlineLevel="3">
      <c r="B103" s="1615"/>
      <c r="C103" s="578"/>
      <c r="D103" s="682"/>
      <c r="E103" s="1619"/>
      <c r="F103" s="39" t="s">
        <v>770</v>
      </c>
      <c r="G103" s="38" t="s">
        <v>772</v>
      </c>
      <c r="H103" s="685"/>
      <c r="I103" s="617" t="s">
        <v>771</v>
      </c>
      <c r="J103" s="125">
        <f>IF('Informations complémentaire'!$G$10="Oui",'Informations complémentaire'!G53,0)</f>
        <v>0</v>
      </c>
      <c r="K103" s="75">
        <f>IF('Informations complémentaire'!$G$10="Oui",'Informations complémentaire'!H53,0)</f>
        <v>0</v>
      </c>
      <c r="L103" s="75"/>
      <c r="M103" s="708"/>
      <c r="N103" s="576"/>
      <c r="O103" s="585"/>
    </row>
    <row r="104" spans="2:15" ht="92.4" hidden="1" outlineLevel="3">
      <c r="B104" s="1615"/>
      <c r="C104" s="578"/>
      <c r="D104" s="682"/>
      <c r="E104" s="688" t="s">
        <v>825</v>
      </c>
      <c r="F104" s="39" t="s">
        <v>829</v>
      </c>
      <c r="G104" s="33" t="s">
        <v>797</v>
      </c>
      <c r="H104" s="685">
        <v>457</v>
      </c>
      <c r="I104" s="617" t="s">
        <v>798</v>
      </c>
      <c r="J104" s="125">
        <f>IF('Informations complémentaire'!$G$10="Oui",IF('Informations complémentaire'!$G$11="Oui",0,'Informations complémentaire'!G109),0)</f>
        <v>0</v>
      </c>
      <c r="K104" s="75">
        <f>IF('Informations complémentaire'!$G$10="Oui",IF('Informations complémentaire'!$G$11="Oui",0,'Informations complémentaire'!H109),0)</f>
        <v>0</v>
      </c>
      <c r="L104" s="75"/>
      <c r="M104" s="708"/>
      <c r="N104" s="576"/>
      <c r="O104" s="585"/>
    </row>
    <row r="105" spans="2:15" ht="39.6" hidden="1" outlineLevel="3">
      <c r="B105" s="1615"/>
      <c r="C105" s="578"/>
      <c r="D105" s="682"/>
      <c r="E105" s="688" t="s">
        <v>780</v>
      </c>
      <c r="F105" s="39" t="s">
        <v>779</v>
      </c>
      <c r="G105" s="682"/>
      <c r="H105" s="685"/>
      <c r="I105" s="617"/>
      <c r="J105" s="125">
        <f>IF('Informations complémentaire'!$G$10="Non",'2051 Passif'!L49+'2051 Passif'!L50+'2051 Passif'!L51,0)</f>
        <v>0</v>
      </c>
      <c r="K105" s="75">
        <f>IF('Informations complémentaire'!$G$10="Non",'2051 Passif'!M49+'2051 Passif'!M50+'2051 Passif'!M51,0)</f>
        <v>0</v>
      </c>
      <c r="L105" s="75"/>
      <c r="M105" s="708"/>
      <c r="N105" s="576"/>
      <c r="O105" s="585"/>
    </row>
    <row r="106" spans="2:15" hidden="1" outlineLevel="3">
      <c r="B106" s="1615"/>
      <c r="C106" s="578"/>
      <c r="D106" s="682"/>
      <c r="E106" s="682"/>
      <c r="F106" s="39" t="s">
        <v>773</v>
      </c>
      <c r="G106" s="38" t="s">
        <v>774</v>
      </c>
      <c r="H106" s="685"/>
      <c r="I106" s="124"/>
      <c r="J106" s="125">
        <f>'Informations complémentaire'!G50</f>
        <v>92000</v>
      </c>
      <c r="K106" s="75">
        <f>'Informations complémentaire'!H50</f>
        <v>19700</v>
      </c>
      <c r="L106" s="75"/>
      <c r="M106" s="708"/>
      <c r="N106" s="576"/>
      <c r="O106" s="585"/>
    </row>
    <row r="107" spans="2:15" hidden="1" outlineLevel="3">
      <c r="B107" s="1615"/>
      <c r="C107" s="578"/>
      <c r="D107" s="682"/>
      <c r="E107" s="682"/>
      <c r="F107" s="112" t="s">
        <v>855</v>
      </c>
      <c r="G107" s="682"/>
      <c r="H107" s="685"/>
      <c r="I107" s="124"/>
      <c r="J107" s="125">
        <f>'Informations complémentaire'!G104</f>
        <v>0</v>
      </c>
      <c r="K107" s="75">
        <f>'Informations complémentaire'!H104</f>
        <v>0</v>
      </c>
      <c r="L107" s="75"/>
      <c r="M107" s="708"/>
      <c r="N107" s="576"/>
      <c r="O107" s="585"/>
    </row>
    <row r="108" spans="2:15" hidden="1" outlineLevel="3">
      <c r="B108" s="1615"/>
      <c r="C108" s="578"/>
      <c r="D108" s="682"/>
      <c r="E108" s="682"/>
      <c r="F108" s="112" t="s">
        <v>856</v>
      </c>
      <c r="G108" s="682"/>
      <c r="H108" s="685"/>
      <c r="I108" s="124"/>
      <c r="J108" s="125">
        <f>'Informations complémentaire'!G93</f>
        <v>0</v>
      </c>
      <c r="K108" s="75">
        <f>'Informations complémentaire'!H93</f>
        <v>0</v>
      </c>
      <c r="L108" s="75"/>
      <c r="M108" s="708"/>
      <c r="N108" s="576"/>
      <c r="O108" s="585"/>
    </row>
    <row r="109" spans="2:15" ht="52.8" hidden="1" outlineLevel="3">
      <c r="B109" s="1615"/>
      <c r="C109" s="578"/>
      <c r="D109" s="682"/>
      <c r="E109" s="682"/>
      <c r="F109" s="111" t="s">
        <v>775</v>
      </c>
      <c r="G109" s="33" t="s">
        <v>776</v>
      </c>
      <c r="H109" s="685">
        <v>446</v>
      </c>
      <c r="I109" s="617" t="s">
        <v>803</v>
      </c>
      <c r="J109" s="125">
        <f>'Informations complémentaire'!G108</f>
        <v>0</v>
      </c>
      <c r="K109" s="75">
        <f>'Informations complémentaire'!H108</f>
        <v>0</v>
      </c>
      <c r="L109" s="75"/>
      <c r="M109" s="708"/>
      <c r="N109" s="576"/>
      <c r="O109" s="585"/>
    </row>
    <row r="110" spans="2:15" s="589" customFormat="1" ht="27" customHeight="1" outlineLevel="1" collapsed="1">
      <c r="B110" s="1615"/>
      <c r="C110" s="590"/>
      <c r="D110" s="1620" t="s">
        <v>1684</v>
      </c>
      <c r="E110" s="1621"/>
      <c r="F110" s="1622"/>
      <c r="G110" s="595"/>
      <c r="H110" s="591"/>
      <c r="I110" s="619"/>
      <c r="J110" s="690">
        <f>J111</f>
        <v>0</v>
      </c>
      <c r="K110" s="689">
        <f>K111</f>
        <v>0</v>
      </c>
      <c r="L110" s="689">
        <f>J110-K110</f>
        <v>0</v>
      </c>
      <c r="M110" s="715" t="str">
        <f>IF(K110&lt;&gt;0,(J110-K110)/K110,"")</f>
        <v/>
      </c>
      <c r="N110" s="592"/>
      <c r="O110" s="593"/>
    </row>
    <row r="111" spans="2:15" ht="24.9" hidden="1" customHeight="1" outlineLevel="2" collapsed="1">
      <c r="B111" s="1615"/>
      <c r="C111" s="578"/>
      <c r="D111" s="682"/>
      <c r="E111" s="1516" t="s">
        <v>696</v>
      </c>
      <c r="F111" s="1516"/>
      <c r="G111" s="682"/>
      <c r="H111" s="685"/>
      <c r="I111" s="124"/>
      <c r="J111" s="126">
        <f>J112+J113+J114+J120+J121+J122-J123</f>
        <v>0</v>
      </c>
      <c r="K111" s="128">
        <f>K112+K113+K114+K120+K121+K122-K123</f>
        <v>0</v>
      </c>
      <c r="L111" s="128">
        <f>J111-K111</f>
        <v>0</v>
      </c>
      <c r="M111" s="709" t="str">
        <f>IF(K111&lt;&gt;0,(J111-K111)/K111,"")</f>
        <v/>
      </c>
      <c r="N111" s="576"/>
      <c r="O111" s="585"/>
    </row>
    <row r="112" spans="2:15" ht="25.5" hidden="1" customHeight="1" outlineLevel="3">
      <c r="B112" s="1615"/>
      <c r="C112" s="578"/>
      <c r="D112" s="682"/>
      <c r="E112" s="1619" t="s">
        <v>781</v>
      </c>
      <c r="F112" s="117" t="s">
        <v>68</v>
      </c>
      <c r="G112" s="595" t="s">
        <v>785</v>
      </c>
      <c r="H112" s="685"/>
      <c r="I112" s="124"/>
      <c r="J112" s="125">
        <f>IF('Informations complémentaire'!$G$10="Oui",'2051 Passif'!L31,0)</f>
        <v>0</v>
      </c>
      <c r="K112" s="75">
        <f>IF('Informations complémentaire'!$G$10="Oui",'2051 Passif'!M31,0)</f>
        <v>0</v>
      </c>
      <c r="L112" s="75"/>
      <c r="M112" s="708"/>
      <c r="N112" s="576"/>
      <c r="O112" s="585"/>
    </row>
    <row r="113" spans="2:15" ht="12.75" hidden="1" customHeight="1" outlineLevel="3">
      <c r="B113" s="1615"/>
      <c r="C113" s="578"/>
      <c r="D113" s="682"/>
      <c r="E113" s="1619"/>
      <c r="F113" s="40" t="s">
        <v>782</v>
      </c>
      <c r="G113" s="38" t="s">
        <v>786</v>
      </c>
      <c r="H113" s="685"/>
      <c r="I113" s="617" t="s">
        <v>804</v>
      </c>
      <c r="J113" s="125">
        <f>IF('Informations complémentaire'!$G$10="Oui",'2051 Passif'!L32-'Informations complémentaire'!G53,0)</f>
        <v>0</v>
      </c>
      <c r="K113" s="75">
        <f>IF('Informations complémentaire'!$G$10="Oui",'2051 Passif'!M32-'Informations complémentaire'!H53,0)</f>
        <v>0</v>
      </c>
      <c r="L113" s="75"/>
      <c r="M113" s="708"/>
      <c r="N113" s="576"/>
      <c r="O113" s="585"/>
    </row>
    <row r="114" spans="2:15" ht="25.5" hidden="1" customHeight="1" outlineLevel="3">
      <c r="B114" s="1615"/>
      <c r="C114" s="578"/>
      <c r="D114" s="682"/>
      <c r="E114" s="1619"/>
      <c r="F114" s="39" t="s">
        <v>784</v>
      </c>
      <c r="G114" s="33" t="s">
        <v>783</v>
      </c>
      <c r="H114" s="685">
        <v>444</v>
      </c>
      <c r="I114" s="617" t="s">
        <v>763</v>
      </c>
      <c r="J114" s="125">
        <f>IF('Informations complémentaire'!$G$10="Oui",'Informations complémentaire'!G54,0)</f>
        <v>0</v>
      </c>
      <c r="K114" s="75">
        <f>IF('Informations complémentaire'!$G$10="Oui",'Informations complémentaire'!H54,0)</f>
        <v>0</v>
      </c>
      <c r="L114" s="75"/>
      <c r="M114" s="708"/>
      <c r="N114" s="576"/>
      <c r="O114" s="585"/>
    </row>
    <row r="115" spans="2:15" ht="25.5" hidden="1" customHeight="1" outlineLevel="3">
      <c r="B115" s="1615"/>
      <c r="C115" s="578"/>
      <c r="D115" s="682"/>
      <c r="E115" s="1619" t="s">
        <v>780</v>
      </c>
      <c r="F115" s="117" t="s">
        <v>68</v>
      </c>
      <c r="G115" s="595" t="s">
        <v>785</v>
      </c>
      <c r="H115" s="685"/>
      <c r="I115" s="124"/>
      <c r="J115" s="125">
        <f>IF('Informations complémentaire'!$G$10="Non",'2051 Passif'!L52,0)</f>
        <v>0</v>
      </c>
      <c r="K115" s="75">
        <f>IF('Informations complémentaire'!$G$10="Non",'2051 Passif'!M52,0)</f>
        <v>0</v>
      </c>
      <c r="L115" s="75"/>
      <c r="M115" s="708"/>
      <c r="N115" s="576"/>
      <c r="O115" s="585"/>
    </row>
    <row r="116" spans="2:15" ht="12.75" hidden="1" customHeight="1" outlineLevel="3">
      <c r="B116" s="1615"/>
      <c r="C116" s="578"/>
      <c r="D116" s="682"/>
      <c r="E116" s="1619"/>
      <c r="F116" s="40" t="s">
        <v>787</v>
      </c>
      <c r="G116" s="682"/>
      <c r="H116" s="685"/>
      <c r="I116" s="124"/>
      <c r="J116" s="125">
        <f>IF('Informations complémentaire'!$G$10="Non",'2051 Passif'!L53,0)</f>
        <v>0</v>
      </c>
      <c r="K116" s="75">
        <f>IF('Informations complémentaire'!$G$10="Non",'2051 Passif'!M53,0)</f>
        <v>0</v>
      </c>
      <c r="L116" s="75"/>
      <c r="M116" s="708"/>
      <c r="N116" s="576"/>
      <c r="O116" s="585"/>
    </row>
    <row r="117" spans="2:15" ht="12.75" hidden="1" customHeight="1" outlineLevel="3">
      <c r="B117" s="1615"/>
      <c r="C117" s="578"/>
      <c r="D117" s="682"/>
      <c r="E117" s="1619"/>
      <c r="F117" s="40" t="s">
        <v>788</v>
      </c>
      <c r="G117" s="682"/>
      <c r="H117" s="685"/>
      <c r="I117" s="124"/>
      <c r="J117" s="125">
        <f>IF('Informations complémentaire'!$G$10="Non",'2051 Passif'!L54,0)</f>
        <v>0</v>
      </c>
      <c r="K117" s="75">
        <f>IF('Informations complémentaire'!$G$10="Non",'2051 Passif'!M54,0)</f>
        <v>0</v>
      </c>
      <c r="L117" s="75"/>
      <c r="M117" s="708"/>
      <c r="N117" s="576"/>
      <c r="O117" s="585"/>
    </row>
    <row r="118" spans="2:15" ht="51" hidden="1" customHeight="1" outlineLevel="3">
      <c r="B118" s="1615"/>
      <c r="C118" s="578"/>
      <c r="D118" s="682"/>
      <c r="E118" s="1619"/>
      <c r="F118" s="39" t="s">
        <v>789</v>
      </c>
      <c r="G118" s="115" t="s">
        <v>796</v>
      </c>
      <c r="H118" s="685">
        <v>455</v>
      </c>
      <c r="I118" s="617" t="s">
        <v>805</v>
      </c>
      <c r="J118" s="125">
        <f>IF('Informations complémentaire'!$G$10="Non",'Informations complémentaire'!G55,0)</f>
        <v>0</v>
      </c>
      <c r="K118" s="75">
        <f>IF('Informations complémentaire'!$G$10="Non",'Informations complémentaire'!H55,0)</f>
        <v>0</v>
      </c>
      <c r="L118" s="75"/>
      <c r="M118" s="708"/>
      <c r="N118" s="576"/>
      <c r="O118" s="585"/>
    </row>
    <row r="119" spans="2:15" ht="76.5" hidden="1" customHeight="1" outlineLevel="3">
      <c r="B119" s="1615"/>
      <c r="C119" s="578"/>
      <c r="D119" s="682"/>
      <c r="E119" s="688" t="s">
        <v>826</v>
      </c>
      <c r="F119" s="600" t="s">
        <v>828</v>
      </c>
      <c r="G119" s="33" t="s">
        <v>790</v>
      </c>
      <c r="H119" s="685">
        <v>457</v>
      </c>
      <c r="I119" s="617" t="s">
        <v>799</v>
      </c>
      <c r="J119" s="125">
        <f>IF('Informations complémentaire'!$G$10="Non",IF('Informations complémentaire'!$G$11="Oui",0,'Informations complémentaire'!G109),0)</f>
        <v>0</v>
      </c>
      <c r="K119" s="75">
        <f>IF('Informations complémentaire'!$G$10="Non",IF('Informations complémentaire'!$G$11="Oui",0,'Informations complémentaire'!H109),0)</f>
        <v>0</v>
      </c>
      <c r="L119" s="75"/>
      <c r="M119" s="708"/>
      <c r="N119" s="576"/>
      <c r="O119" s="585"/>
    </row>
    <row r="120" spans="2:15" ht="12.75" hidden="1" customHeight="1" outlineLevel="3">
      <c r="B120" s="1615"/>
      <c r="C120" s="578"/>
      <c r="D120" s="682"/>
      <c r="E120" s="682"/>
      <c r="F120" s="596" t="s">
        <v>778</v>
      </c>
      <c r="G120" s="682"/>
      <c r="H120" s="685"/>
      <c r="I120" s="124"/>
      <c r="J120" s="125">
        <f>'Informations complémentaire'!G62</f>
        <v>0</v>
      </c>
      <c r="K120" s="75">
        <f>'Informations complémentaire'!H62</f>
        <v>0</v>
      </c>
      <c r="L120" s="75"/>
      <c r="M120" s="708"/>
      <c r="N120" s="576"/>
      <c r="O120" s="585"/>
    </row>
    <row r="121" spans="2:15" ht="12.75" hidden="1" customHeight="1" outlineLevel="3">
      <c r="B121" s="1615"/>
      <c r="C121" s="578"/>
      <c r="D121" s="682"/>
      <c r="E121" s="682"/>
      <c r="F121" s="39" t="s">
        <v>777</v>
      </c>
      <c r="G121" s="682"/>
      <c r="H121" s="685"/>
      <c r="I121" s="124"/>
      <c r="J121" s="125">
        <f>'2051 Passif'!L33-'Informations complémentaire'!G50</f>
        <v>0</v>
      </c>
      <c r="K121" s="75">
        <f>'2051 Passif'!M33-'Informations complémentaire'!H50</f>
        <v>0</v>
      </c>
      <c r="L121" s="75"/>
      <c r="M121" s="708"/>
      <c r="N121" s="576"/>
      <c r="O121" s="585"/>
    </row>
    <row r="122" spans="2:15" ht="12.75" hidden="1" customHeight="1" outlineLevel="3">
      <c r="B122" s="1615"/>
      <c r="C122" s="578"/>
      <c r="D122" s="682"/>
      <c r="E122" s="682"/>
      <c r="F122" s="112" t="s">
        <v>815</v>
      </c>
      <c r="G122" s="682"/>
      <c r="H122" s="685"/>
      <c r="I122" s="124"/>
      <c r="J122" s="125">
        <f>'Informations complémentaire'!G105</f>
        <v>0</v>
      </c>
      <c r="K122" s="75">
        <f>'Informations complémentaire'!H105</f>
        <v>0</v>
      </c>
      <c r="L122" s="75"/>
      <c r="M122" s="708"/>
      <c r="N122" s="576"/>
      <c r="O122" s="585"/>
    </row>
    <row r="123" spans="2:15" ht="12.75" hidden="1" customHeight="1" outlineLevel="3">
      <c r="B123" s="1615"/>
      <c r="C123" s="578"/>
      <c r="D123" s="682"/>
      <c r="E123" s="682"/>
      <c r="F123" s="112" t="s">
        <v>816</v>
      </c>
      <c r="G123" s="682"/>
      <c r="H123" s="685"/>
      <c r="I123" s="124"/>
      <c r="J123" s="125">
        <f>'Informations complémentaire'!G94</f>
        <v>0</v>
      </c>
      <c r="K123" s="75">
        <f>'Informations complémentaire'!H94</f>
        <v>0</v>
      </c>
      <c r="L123" s="75"/>
      <c r="M123" s="708"/>
      <c r="N123" s="576"/>
      <c r="O123" s="585"/>
    </row>
    <row r="124" spans="2:15" ht="24.9" customHeight="1" outlineLevel="1" collapsed="1" thickBot="1">
      <c r="B124" s="1615"/>
      <c r="C124" s="578"/>
      <c r="D124" s="1587" t="s">
        <v>697</v>
      </c>
      <c r="E124" s="1587"/>
      <c r="F124" s="1587"/>
      <c r="G124" s="682"/>
      <c r="H124" s="685"/>
      <c r="I124" s="621"/>
      <c r="J124" s="690">
        <f>J125+J126+J127+J128</f>
        <v>800000</v>
      </c>
      <c r="K124" s="689">
        <f>K125+K126+K127+K128</f>
        <v>800000</v>
      </c>
      <c r="L124" s="689">
        <f>J124-K124</f>
        <v>0</v>
      </c>
      <c r="M124" s="715">
        <f>IF(K124&lt;&gt;0,(J124-K124)/K124,"")</f>
        <v>0</v>
      </c>
      <c r="N124" s="576"/>
      <c r="O124" s="585"/>
    </row>
    <row r="125" spans="2:15" hidden="1" outlineLevel="3">
      <c r="B125" s="1615"/>
      <c r="C125" s="578"/>
      <c r="D125" s="682"/>
      <c r="E125" s="39" t="s">
        <v>760</v>
      </c>
      <c r="F125" s="682"/>
      <c r="G125" s="682"/>
      <c r="H125" s="685"/>
      <c r="I125" s="622" t="s">
        <v>1634</v>
      </c>
      <c r="J125" s="125">
        <f>'Informations complémentaire'!G57</f>
        <v>0</v>
      </c>
      <c r="K125" s="75">
        <f>'Informations complémentaire'!H57</f>
        <v>0</v>
      </c>
      <c r="L125" s="75"/>
      <c r="M125" s="708"/>
      <c r="N125" s="576"/>
      <c r="O125" s="585"/>
    </row>
    <row r="126" spans="2:15" hidden="1" outlineLevel="3">
      <c r="B126" s="1615"/>
      <c r="C126" s="578"/>
      <c r="D126" s="682"/>
      <c r="E126" s="39" t="s">
        <v>761</v>
      </c>
      <c r="F126" s="682"/>
      <c r="G126" s="682"/>
      <c r="H126" s="685"/>
      <c r="I126" s="621"/>
      <c r="J126" s="125">
        <f>'Informations complémentaire'!G58</f>
        <v>0</v>
      </c>
      <c r="K126" s="75">
        <f>'Informations complémentaire'!H58</f>
        <v>0</v>
      </c>
      <c r="L126" s="75"/>
      <c r="M126" s="708"/>
      <c r="N126" s="576"/>
      <c r="O126" s="585"/>
    </row>
    <row r="127" spans="2:15" ht="26.4" hidden="1" outlineLevel="3">
      <c r="B127" s="1615"/>
      <c r="C127" s="578"/>
      <c r="D127" s="682"/>
      <c r="E127" s="111" t="s">
        <v>762</v>
      </c>
      <c r="F127" s="682"/>
      <c r="G127" s="33" t="s">
        <v>776</v>
      </c>
      <c r="H127" s="685">
        <v>446</v>
      </c>
      <c r="I127" s="617" t="s">
        <v>763</v>
      </c>
      <c r="J127" s="125">
        <f>'Informations complémentaire'!G108</f>
        <v>0</v>
      </c>
      <c r="K127" s="75">
        <f>'Informations complémentaire'!H108</f>
        <v>0</v>
      </c>
      <c r="L127" s="75"/>
      <c r="M127" s="708"/>
      <c r="N127" s="576"/>
      <c r="O127" s="585"/>
    </row>
    <row r="128" spans="2:15" ht="13.8" hidden="1" outlineLevel="3" thickBot="1">
      <c r="B128" s="1616"/>
      <c r="C128" s="579"/>
      <c r="D128" s="683"/>
      <c r="E128" s="130" t="s">
        <v>764</v>
      </c>
      <c r="F128" s="691"/>
      <c r="G128" s="691"/>
      <c r="H128" s="692"/>
      <c r="I128" s="693" t="s">
        <v>765</v>
      </c>
      <c r="J128" s="615">
        <f>'Informations complémentaire'!G47</f>
        <v>800000</v>
      </c>
      <c r="K128" s="101">
        <f>'Informations complémentaire'!H47</f>
        <v>800000</v>
      </c>
      <c r="L128" s="101"/>
      <c r="M128" s="717"/>
      <c r="N128" s="577"/>
      <c r="O128" s="585"/>
    </row>
    <row r="129" spans="1:16" ht="23.25" customHeight="1" thickBot="1">
      <c r="A129" s="585"/>
      <c r="B129" s="121"/>
      <c r="C129" s="121"/>
      <c r="D129" s="121"/>
      <c r="E129" s="121"/>
      <c r="F129" s="829" t="s">
        <v>794</v>
      </c>
      <c r="G129" s="686"/>
      <c r="H129" s="602"/>
      <c r="I129" s="686"/>
      <c r="J129" s="694">
        <f>J68+J93</f>
        <v>23986000</v>
      </c>
      <c r="K129" s="695">
        <f>K68+K93</f>
        <v>17422900</v>
      </c>
      <c r="L129" s="695">
        <f>IF(K129&lt;&gt;0,(J129-K129),"")</f>
        <v>6563100</v>
      </c>
      <c r="M129" s="718">
        <f>IF(K129&lt;&gt;0,(J129-K129)/K129,"")</f>
        <v>0.37669389137284837</v>
      </c>
      <c r="N129" s="121"/>
      <c r="O129" s="585"/>
      <c r="P129" s="585"/>
    </row>
    <row r="130" spans="1:16">
      <c r="A130" s="585"/>
      <c r="B130" s="585"/>
      <c r="C130" s="585"/>
      <c r="D130" s="585"/>
      <c r="E130" s="585"/>
      <c r="F130" s="585"/>
      <c r="G130" s="585"/>
      <c r="H130" s="122"/>
      <c r="I130" s="585"/>
      <c r="J130" s="585"/>
      <c r="K130" s="585"/>
      <c r="L130" s="585"/>
      <c r="M130" s="687"/>
      <c r="N130" s="585"/>
      <c r="O130" s="585"/>
      <c r="P130" s="585"/>
    </row>
    <row r="131" spans="1:16">
      <c r="J131" s="189" t="s">
        <v>2108</v>
      </c>
    </row>
    <row r="132" spans="1:16">
      <c r="F132" s="585"/>
    </row>
    <row r="133" spans="1:16">
      <c r="F133" s="585"/>
      <c r="J133" s="604"/>
      <c r="K133" s="604"/>
    </row>
  </sheetData>
  <mergeCells count="73">
    <mergeCell ref="B5:F5"/>
    <mergeCell ref="B67:F67"/>
    <mergeCell ref="B68:B128"/>
    <mergeCell ref="C68:F68"/>
    <mergeCell ref="C93:F93"/>
    <mergeCell ref="D94:F94"/>
    <mergeCell ref="E95:F95"/>
    <mergeCell ref="E99:F99"/>
    <mergeCell ref="E100:E103"/>
    <mergeCell ref="D110:F110"/>
    <mergeCell ref="E111:F111"/>
    <mergeCell ref="E84:F84"/>
    <mergeCell ref="E112:E114"/>
    <mergeCell ref="E115:E118"/>
    <mergeCell ref="D124:F124"/>
    <mergeCell ref="E90:F90"/>
    <mergeCell ref="E91:F91"/>
    <mergeCell ref="B2:N2"/>
    <mergeCell ref="E87:F87"/>
    <mergeCell ref="E88:F88"/>
    <mergeCell ref="E79:F79"/>
    <mergeCell ref="E80:F80"/>
    <mergeCell ref="E81:F81"/>
    <mergeCell ref="E82:F82"/>
    <mergeCell ref="E83:F83"/>
    <mergeCell ref="D69:F69"/>
    <mergeCell ref="E70:F70"/>
    <mergeCell ref="E71:F71"/>
    <mergeCell ref="B6:B62"/>
    <mergeCell ref="E42:E43"/>
    <mergeCell ref="E31:F31"/>
    <mergeCell ref="I8:I16"/>
    <mergeCell ref="E8:F8"/>
    <mergeCell ref="E9:F9"/>
    <mergeCell ref="E10:F10"/>
    <mergeCell ref="E11:F11"/>
    <mergeCell ref="E18:F18"/>
    <mergeCell ref="D19:F19"/>
    <mergeCell ref="E41:F41"/>
    <mergeCell ref="E50:F50"/>
    <mergeCell ref="E89:F89"/>
    <mergeCell ref="E85:F85"/>
    <mergeCell ref="E86:F86"/>
    <mergeCell ref="E75:F75"/>
    <mergeCell ref="E76:F76"/>
    <mergeCell ref="E77:F77"/>
    <mergeCell ref="D78:F78"/>
    <mergeCell ref="E26:F26"/>
    <mergeCell ref="E27:F27"/>
    <mergeCell ref="E28:F28"/>
    <mergeCell ref="E20:F20"/>
    <mergeCell ref="E21:F21"/>
    <mergeCell ref="I20:I24"/>
    <mergeCell ref="E37:F37"/>
    <mergeCell ref="E72:F72"/>
    <mergeCell ref="E73:F73"/>
    <mergeCell ref="E74:F74"/>
    <mergeCell ref="C6:F6"/>
    <mergeCell ref="D7:F7"/>
    <mergeCell ref="D60:F60"/>
    <mergeCell ref="D49:F49"/>
    <mergeCell ref="D30:F30"/>
    <mergeCell ref="C29:F29"/>
    <mergeCell ref="E12:F12"/>
    <mergeCell ref="E13:F13"/>
    <mergeCell ref="E14:F14"/>
    <mergeCell ref="E15:F15"/>
    <mergeCell ref="E16:F16"/>
    <mergeCell ref="E22:F22"/>
    <mergeCell ref="E23:F23"/>
    <mergeCell ref="E24:F24"/>
    <mergeCell ref="E25:F25"/>
    <mergeCell ref="E17:F17"/>
  </mergeCells>
  <conditionalFormatting sqref="J129">
    <cfRule type="cellIs" dxfId="7" priority="11" operator="notEqual">
      <formula>$J$63</formula>
    </cfRule>
    <cfRule type="cellIs" dxfId="6" priority="12" operator="equal">
      <formula>$J$63</formula>
    </cfRule>
  </conditionalFormatting>
  <conditionalFormatting sqref="K129">
    <cfRule type="cellIs" dxfId="5" priority="13" operator="notEqual">
      <formula>$K$63</formula>
    </cfRule>
    <cfRule type="cellIs" dxfId="4" priority="14" operator="equal">
      <formula>$K$63</formula>
    </cfRule>
  </conditionalFormatting>
  <conditionalFormatting sqref="J63">
    <cfRule type="cellIs" dxfId="3" priority="15" operator="notEqual">
      <formula>$J$129</formula>
    </cfRule>
    <cfRule type="cellIs" dxfId="2" priority="16" operator="equal">
      <formula>$J$129</formula>
    </cfRule>
  </conditionalFormatting>
  <conditionalFormatting sqref="K63">
    <cfRule type="cellIs" dxfId="1" priority="17" operator="notEqual">
      <formula>$K$129</formula>
    </cfRule>
    <cfRule type="cellIs" dxfId="0" priority="18" operator="equal">
      <formula>$K$129</formula>
    </cfRule>
  </conditionalFormatting>
  <hyperlinks>
    <hyperlink ref="A1" location="Sommaire!A1" display="Sommaire"/>
  </hyperlinks>
  <printOptions horizontalCentered="1" verticalCentered="1"/>
  <pageMargins left="0" right="0" top="0" bottom="0" header="0" footer="0"/>
  <pageSetup paperSize="9" orientation="landscape" r:id="rId1"/>
</worksheet>
</file>

<file path=xl/worksheets/sheet14.xml><?xml version="1.0" encoding="utf-8"?>
<worksheet xmlns="http://schemas.openxmlformats.org/spreadsheetml/2006/main" xmlns:r="http://schemas.openxmlformats.org/officeDocument/2006/relationships">
  <sheetPr codeName="Feuil27">
    <tabColor theme="9" tint="0.39997558519241921"/>
    <outlinePr summaryBelow="0" summaryRight="0"/>
  </sheetPr>
  <dimension ref="A1:X21"/>
  <sheetViews>
    <sheetView showGridLines="0" zoomScale="90" zoomScaleNormal="90" workbookViewId="0"/>
  </sheetViews>
  <sheetFormatPr baseColWidth="10" defaultColWidth="11.5546875" defaultRowHeight="13.2" outlineLevelRow="2" outlineLevelCol="1"/>
  <cols>
    <col min="1" max="2" width="5.109375" style="551" customWidth="1"/>
    <col min="3" max="3" width="12.33203125" style="551" customWidth="1"/>
    <col min="4" max="4" width="15" style="551" customWidth="1"/>
    <col min="5" max="6" width="14.5546875" style="551" customWidth="1"/>
    <col min="7" max="7" width="11.5546875" style="551" collapsed="1"/>
    <col min="8" max="8" width="81.44140625" style="551" hidden="1" customWidth="1" outlineLevel="1"/>
    <col min="9" max="10" width="17" style="551" customWidth="1"/>
    <col min="11" max="11" width="3.6640625" style="551" customWidth="1"/>
    <col min="12" max="13" width="6.6640625" style="551" customWidth="1"/>
    <col min="14" max="14" width="1.5546875" style="551" customWidth="1"/>
    <col min="15" max="15" width="2.44140625" style="955" bestFit="1" customWidth="1"/>
    <col min="16" max="16" width="1.5546875" style="551" customWidth="1"/>
    <col min="17" max="18" width="6.6640625" style="551" customWidth="1"/>
    <col min="19" max="19" width="1.5546875" style="551" customWidth="1"/>
    <col min="20" max="20" width="3.6640625" style="551" customWidth="1"/>
    <col min="21" max="21" width="1.5546875" style="551" customWidth="1"/>
    <col min="22" max="22" width="10.33203125" style="551" bestFit="1" customWidth="1"/>
    <col min="23" max="23" width="14.33203125" style="551" customWidth="1"/>
    <col min="24" max="24" width="5.33203125" style="551" customWidth="1"/>
    <col min="25" max="16384" width="11.5546875" style="551"/>
  </cols>
  <sheetData>
    <row r="1" spans="1:24" ht="14.4" thickBot="1">
      <c r="A1" s="981" t="s">
        <v>2015</v>
      </c>
    </row>
    <row r="2" spans="1:24" ht="23.4" customHeight="1" thickBot="1">
      <c r="B2" s="1602" t="s">
        <v>2059</v>
      </c>
      <c r="C2" s="1603"/>
      <c r="D2" s="1603"/>
      <c r="E2" s="1603"/>
      <c r="F2" s="1603"/>
      <c r="G2" s="1603"/>
      <c r="H2" s="1603"/>
      <c r="I2" s="1603"/>
      <c r="J2" s="1603"/>
      <c r="K2" s="1603"/>
      <c r="L2" s="1603"/>
      <c r="M2" s="1603"/>
      <c r="N2" s="1603"/>
      <c r="O2" s="1603"/>
      <c r="P2" s="1603"/>
      <c r="Q2" s="1603"/>
      <c r="R2" s="1603"/>
      <c r="S2" s="1603"/>
      <c r="T2" s="1603"/>
      <c r="U2" s="1603"/>
      <c r="V2" s="1603"/>
      <c r="W2" s="1603"/>
      <c r="X2" s="1604"/>
    </row>
    <row r="3" spans="1:24" ht="13.95" customHeight="1">
      <c r="O3" s="551"/>
    </row>
    <row r="4" spans="1:24" ht="13.8" thickBot="1"/>
    <row r="5" spans="1:24" ht="23.4" thickBot="1">
      <c r="C5" s="1627" t="s">
        <v>2055</v>
      </c>
      <c r="D5" s="1628"/>
      <c r="E5" s="1628"/>
      <c r="F5" s="1628"/>
      <c r="G5" s="1629"/>
      <c r="H5" s="966" t="s">
        <v>196</v>
      </c>
      <c r="I5" s="788">
        <f>'Informations complémentaire'!D8</f>
        <v>2012</v>
      </c>
      <c r="J5" s="788">
        <f>IFERROR('Informations complémentaire'!D8-1,'Informations complémentaire'!D8&amp;" - 1")</f>
        <v>2011</v>
      </c>
      <c r="K5" s="1624" t="s">
        <v>120</v>
      </c>
      <c r="L5" s="1625"/>
      <c r="M5" s="1625"/>
      <c r="N5" s="1625"/>
      <c r="O5" s="1625"/>
      <c r="P5" s="1625"/>
      <c r="Q5" s="1625"/>
      <c r="R5" s="1625"/>
      <c r="S5" s="1625"/>
      <c r="T5" s="1625"/>
      <c r="U5" s="1625"/>
      <c r="V5" s="1625"/>
      <c r="W5" s="1626"/>
    </row>
    <row r="6" spans="1:24" ht="31.2" customHeight="1">
      <c r="C6" s="1623" t="s">
        <v>2105</v>
      </c>
      <c r="D6" s="1623"/>
      <c r="E6" s="1623"/>
      <c r="F6" s="1623"/>
      <c r="G6" s="1623"/>
      <c r="H6" s="902" t="s">
        <v>2054</v>
      </c>
      <c r="I6" s="492"/>
      <c r="J6" s="492"/>
      <c r="K6" s="927"/>
      <c r="L6" s="957"/>
      <c r="M6" s="957"/>
      <c r="N6" s="957"/>
      <c r="O6" s="958"/>
      <c r="P6" s="957"/>
      <c r="Q6" s="957"/>
      <c r="R6" s="957"/>
      <c r="S6" s="957"/>
      <c r="T6" s="957"/>
      <c r="U6" s="957"/>
      <c r="V6" s="957"/>
      <c r="W6" s="928"/>
    </row>
    <row r="7" spans="1:24" outlineLevel="1">
      <c r="C7" s="927"/>
      <c r="D7" s="1605" t="s">
        <v>2052</v>
      </c>
      <c r="E7" s="1605"/>
      <c r="F7" s="1605"/>
      <c r="G7" s="1605"/>
      <c r="H7" s="953"/>
      <c r="I7" s="953"/>
      <c r="J7" s="953"/>
      <c r="K7" s="927"/>
      <c r="L7" s="957"/>
      <c r="M7" s="957"/>
      <c r="N7" s="957"/>
      <c r="O7" s="958"/>
      <c r="P7" s="957"/>
      <c r="Q7" s="957"/>
      <c r="R7" s="957"/>
      <c r="S7" s="957"/>
      <c r="T7" s="957"/>
      <c r="U7" s="957"/>
      <c r="V7" s="957"/>
      <c r="W7" s="928"/>
    </row>
    <row r="8" spans="1:24" outlineLevel="1">
      <c r="C8" s="927"/>
      <c r="D8" s="1605" t="s">
        <v>1693</v>
      </c>
      <c r="E8" s="1605"/>
      <c r="F8" s="1605"/>
      <c r="G8" s="1605"/>
      <c r="H8" s="953"/>
      <c r="I8" s="953"/>
      <c r="J8" s="953"/>
      <c r="K8" s="927"/>
      <c r="L8" s="957"/>
      <c r="M8" s="957"/>
      <c r="N8" s="957"/>
      <c r="O8" s="958"/>
      <c r="P8" s="957"/>
      <c r="Q8" s="957"/>
      <c r="R8" s="957"/>
      <c r="S8" s="957"/>
      <c r="T8" s="957"/>
      <c r="U8" s="957"/>
      <c r="V8" s="957"/>
      <c r="W8" s="928"/>
    </row>
    <row r="9" spans="1:24" outlineLevel="1">
      <c r="C9" s="927"/>
      <c r="D9" s="1605" t="s">
        <v>681</v>
      </c>
      <c r="E9" s="1605"/>
      <c r="F9" s="1605"/>
      <c r="G9" s="1605"/>
      <c r="H9" s="953"/>
      <c r="I9" s="953"/>
      <c r="J9" s="953"/>
      <c r="K9" s="927"/>
      <c r="L9" s="957"/>
      <c r="M9" s="957"/>
      <c r="N9" s="957"/>
      <c r="O9" s="958"/>
      <c r="P9" s="957"/>
      <c r="Q9" s="957"/>
      <c r="R9" s="957"/>
      <c r="S9" s="957"/>
      <c r="T9" s="957"/>
      <c r="U9" s="957"/>
      <c r="V9" s="957"/>
      <c r="W9" s="928"/>
    </row>
    <row r="10" spans="1:24" outlineLevel="2">
      <c r="C10" s="927"/>
      <c r="D10" s="954"/>
      <c r="E10" s="1605" t="s">
        <v>2053</v>
      </c>
      <c r="F10" s="1605"/>
      <c r="G10" s="1605"/>
      <c r="H10" s="953"/>
      <c r="I10" s="953"/>
      <c r="J10" s="953"/>
      <c r="K10" s="927"/>
      <c r="L10" s="957"/>
      <c r="M10" s="957"/>
      <c r="N10" s="957"/>
      <c r="O10" s="958"/>
      <c r="P10" s="957"/>
      <c r="Q10" s="957"/>
      <c r="R10" s="957"/>
      <c r="S10" s="957"/>
      <c r="T10" s="957"/>
      <c r="U10" s="957"/>
      <c r="V10" s="957"/>
      <c r="W10" s="928"/>
    </row>
    <row r="11" spans="1:24" outlineLevel="2">
      <c r="C11" s="927"/>
      <c r="D11" s="954"/>
      <c r="E11" s="1630" t="s">
        <v>41</v>
      </c>
      <c r="F11" s="1630"/>
      <c r="G11" s="1630"/>
      <c r="H11" s="691"/>
      <c r="I11" s="691"/>
      <c r="J11" s="691"/>
      <c r="K11" s="927"/>
      <c r="L11" s="957"/>
      <c r="M11" s="957"/>
      <c r="N11" s="957"/>
      <c r="O11" s="958"/>
      <c r="P11" s="957"/>
      <c r="Q11" s="957"/>
      <c r="R11" s="957"/>
      <c r="S11" s="957"/>
      <c r="T11" s="957"/>
      <c r="U11" s="957"/>
      <c r="V11" s="957"/>
      <c r="W11" s="928"/>
    </row>
    <row r="12" spans="1:24">
      <c r="C12" s="1605" t="s">
        <v>1305</v>
      </c>
      <c r="D12" s="1605"/>
      <c r="E12" s="1605"/>
      <c r="F12" s="1605"/>
      <c r="G12" s="1605"/>
      <c r="H12" s="953"/>
      <c r="I12" s="953"/>
      <c r="J12" s="953"/>
      <c r="K12" s="699"/>
      <c r="L12" s="938"/>
      <c r="M12" s="938"/>
      <c r="N12" s="938"/>
      <c r="O12" s="956"/>
      <c r="P12" s="938"/>
      <c r="Q12" s="938"/>
      <c r="R12" s="938"/>
      <c r="S12" s="938"/>
      <c r="T12" s="938"/>
      <c r="U12" s="938"/>
      <c r="V12" s="938"/>
      <c r="W12" s="939"/>
    </row>
    <row r="14" spans="1:24" ht="13.8" thickBot="1"/>
    <row r="15" spans="1:24" ht="23.4" thickBot="1">
      <c r="C15" s="1627" t="s">
        <v>2056</v>
      </c>
      <c r="D15" s="1628"/>
      <c r="E15" s="1628"/>
      <c r="F15" s="1628"/>
      <c r="G15" s="1629"/>
      <c r="H15" s="966" t="s">
        <v>196</v>
      </c>
      <c r="I15" s="788">
        <f>'Informations complémentaire'!D8</f>
        <v>2012</v>
      </c>
      <c r="J15" s="788">
        <f>IFERROR('Informations complémentaire'!D8-1,'Informations complémentaire'!D8&amp;" - 1")</f>
        <v>2011</v>
      </c>
      <c r="K15" s="1624" t="s">
        <v>120</v>
      </c>
      <c r="L15" s="1625"/>
      <c r="M15" s="1625"/>
      <c r="N15" s="1625"/>
      <c r="O15" s="1625"/>
      <c r="P15" s="1625"/>
      <c r="Q15" s="1625"/>
      <c r="R15" s="1625"/>
      <c r="S15" s="1625"/>
      <c r="T15" s="1625"/>
      <c r="U15" s="1625"/>
      <c r="V15" s="1625"/>
      <c r="W15" s="1626"/>
    </row>
    <row r="16" spans="1:24" ht="25.95" customHeight="1">
      <c r="C16" s="1623" t="s">
        <v>2049</v>
      </c>
      <c r="D16" s="1623"/>
      <c r="E16" s="1623"/>
      <c r="F16" s="1623"/>
      <c r="G16" s="1623"/>
      <c r="H16" s="492"/>
      <c r="I16" s="492"/>
      <c r="J16" s="492"/>
      <c r="K16" s="927"/>
      <c r="L16" s="957"/>
      <c r="M16" s="957"/>
      <c r="N16" s="957"/>
      <c r="O16" s="958"/>
      <c r="P16" s="957"/>
      <c r="Q16" s="957"/>
      <c r="R16" s="957"/>
      <c r="S16" s="957"/>
      <c r="T16" s="957"/>
      <c r="U16" s="957"/>
      <c r="V16" s="957"/>
      <c r="W16" s="928"/>
    </row>
    <row r="17" spans="3:23" outlineLevel="1">
      <c r="C17" s="927"/>
      <c r="D17" s="1605" t="s">
        <v>2057</v>
      </c>
      <c r="E17" s="1605"/>
      <c r="F17" s="1605"/>
      <c r="G17" s="1605"/>
      <c r="H17" s="953"/>
      <c r="I17" s="953"/>
      <c r="J17" s="953"/>
      <c r="K17" s="927"/>
      <c r="L17" s="957"/>
      <c r="M17" s="957"/>
      <c r="N17" s="957"/>
      <c r="O17" s="958"/>
      <c r="P17" s="957"/>
      <c r="Q17" s="957"/>
      <c r="R17" s="957"/>
      <c r="S17" s="957"/>
      <c r="T17" s="957"/>
      <c r="U17" s="957"/>
      <c r="V17" s="957"/>
      <c r="W17" s="928"/>
    </row>
    <row r="18" spans="3:23" outlineLevel="1">
      <c r="C18" s="927"/>
      <c r="D18" s="1605" t="s">
        <v>2058</v>
      </c>
      <c r="E18" s="1605"/>
      <c r="F18" s="1605"/>
      <c r="G18" s="1605"/>
      <c r="H18" s="953"/>
      <c r="I18" s="953"/>
      <c r="J18" s="953"/>
      <c r="K18" s="927"/>
      <c r="L18" s="957"/>
      <c r="M18" s="957"/>
      <c r="N18" s="957"/>
      <c r="O18" s="958"/>
      <c r="P18" s="957"/>
      <c r="Q18" s="957"/>
      <c r="R18" s="957"/>
      <c r="S18" s="957"/>
      <c r="T18" s="957"/>
      <c r="U18" s="957"/>
      <c r="V18" s="957"/>
      <c r="W18" s="928"/>
    </row>
    <row r="19" spans="3:23" outlineLevel="2">
      <c r="C19" s="927"/>
      <c r="D19" s="954"/>
      <c r="E19" s="1605" t="s">
        <v>2050</v>
      </c>
      <c r="F19" s="1605"/>
      <c r="G19" s="1605"/>
      <c r="H19" s="953"/>
      <c r="I19" s="953"/>
      <c r="J19" s="953"/>
      <c r="K19" s="927"/>
      <c r="L19" s="957"/>
      <c r="M19" s="957"/>
      <c r="N19" s="957"/>
      <c r="O19" s="958"/>
      <c r="P19" s="957"/>
      <c r="Q19" s="957"/>
      <c r="R19" s="957"/>
      <c r="S19" s="957"/>
      <c r="T19" s="957"/>
      <c r="U19" s="957"/>
      <c r="V19" s="957"/>
      <c r="W19" s="928"/>
    </row>
    <row r="20" spans="3:23" outlineLevel="2">
      <c r="C20" s="927"/>
      <c r="D20" s="954"/>
      <c r="E20" s="1605" t="s">
        <v>2051</v>
      </c>
      <c r="F20" s="1605"/>
      <c r="G20" s="1605"/>
      <c r="H20" s="953"/>
      <c r="I20" s="953"/>
      <c r="J20" s="953"/>
      <c r="K20" s="927"/>
      <c r="L20" s="957"/>
      <c r="M20" s="957"/>
      <c r="N20" s="957"/>
      <c r="O20" s="958"/>
      <c r="P20" s="957"/>
      <c r="Q20" s="957"/>
      <c r="R20" s="957"/>
      <c r="S20" s="957"/>
      <c r="T20" s="957"/>
      <c r="U20" s="957"/>
      <c r="V20" s="957"/>
      <c r="W20" s="928"/>
    </row>
    <row r="21" spans="3:23">
      <c r="C21" s="1605" t="s">
        <v>1305</v>
      </c>
      <c r="D21" s="1605"/>
      <c r="E21" s="1605"/>
      <c r="F21" s="1605"/>
      <c r="G21" s="1605"/>
      <c r="H21" s="953"/>
      <c r="I21" s="953"/>
      <c r="J21" s="953"/>
      <c r="K21" s="699"/>
      <c r="L21" s="938"/>
      <c r="M21" s="938"/>
      <c r="N21" s="938"/>
      <c r="O21" s="956"/>
      <c r="P21" s="938"/>
      <c r="Q21" s="938"/>
      <c r="R21" s="938"/>
      <c r="S21" s="938"/>
      <c r="T21" s="938"/>
      <c r="U21" s="938"/>
      <c r="V21" s="938"/>
      <c r="W21" s="939"/>
    </row>
  </sheetData>
  <mergeCells count="18">
    <mergeCell ref="B2:X2"/>
    <mergeCell ref="K5:W5"/>
    <mergeCell ref="K15:W15"/>
    <mergeCell ref="C5:G5"/>
    <mergeCell ref="C15:G15"/>
    <mergeCell ref="D9:G9"/>
    <mergeCell ref="D8:G8"/>
    <mergeCell ref="D7:G7"/>
    <mergeCell ref="E10:G10"/>
    <mergeCell ref="E11:G11"/>
    <mergeCell ref="C6:G6"/>
    <mergeCell ref="E20:G20"/>
    <mergeCell ref="C12:G12"/>
    <mergeCell ref="C21:G21"/>
    <mergeCell ref="D17:G17"/>
    <mergeCell ref="D18:G18"/>
    <mergeCell ref="C16:G16"/>
    <mergeCell ref="E19:G19"/>
  </mergeCells>
  <hyperlinks>
    <hyperlink ref="A1" location="Sommaire!A1" display="Sommaire"/>
  </hyperlinks>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Feuil28">
    <tabColor theme="9" tint="0.39997558519241921"/>
    <outlinePr summaryBelow="0" summaryRight="0"/>
  </sheetPr>
  <dimension ref="A1:O50"/>
  <sheetViews>
    <sheetView showGridLines="0" workbookViewId="0"/>
  </sheetViews>
  <sheetFormatPr baseColWidth="10" defaultColWidth="11.44140625" defaultRowHeight="13.2" outlineLevelRow="3"/>
  <cols>
    <col min="1" max="1" width="3.109375" customWidth="1"/>
    <col min="2" max="2" width="4.109375" style="55" customWidth="1"/>
    <col min="3" max="3" width="5.33203125" customWidth="1"/>
    <col min="4" max="4" width="10.109375" customWidth="1"/>
    <col min="5" max="5" width="7.109375" customWidth="1"/>
    <col min="9" max="9" width="18.33203125" customWidth="1"/>
    <col min="10" max="10" width="16" customWidth="1"/>
    <col min="16" max="17" width="4.6640625" customWidth="1"/>
    <col min="18" max="22" width="6.33203125" customWidth="1"/>
  </cols>
  <sheetData>
    <row r="1" spans="1:15" s="55" customFormat="1" ht="14.4" thickBot="1">
      <c r="A1" s="981" t="s">
        <v>2015</v>
      </c>
    </row>
    <row r="2" spans="1:15" s="55" customFormat="1" ht="23.4" customHeight="1" thickBot="1">
      <c r="B2" s="1602" t="s">
        <v>2106</v>
      </c>
      <c r="C2" s="1603"/>
      <c r="D2" s="1603"/>
      <c r="E2" s="1603"/>
      <c r="F2" s="1603"/>
      <c r="G2" s="1603"/>
      <c r="H2" s="1603"/>
      <c r="I2" s="1603"/>
      <c r="J2" s="1603"/>
      <c r="K2" s="1603"/>
      <c r="L2" s="1603"/>
      <c r="M2" s="1603"/>
      <c r="N2" s="1603"/>
      <c r="O2" s="1604"/>
    </row>
    <row r="4" spans="1:15" s="55" customFormat="1">
      <c r="D4" s="906"/>
      <c r="E4" s="906"/>
    </row>
    <row r="5" spans="1:15" ht="22.8">
      <c r="C5" s="1631" t="s">
        <v>2061</v>
      </c>
      <c r="D5" s="1632"/>
      <c r="E5" s="1632"/>
      <c r="F5" s="1632"/>
      <c r="G5" s="1632"/>
      <c r="H5" s="1632"/>
      <c r="I5" s="1632"/>
      <c r="J5" s="1633"/>
      <c r="K5" s="960" t="s">
        <v>838</v>
      </c>
      <c r="L5" s="960" t="s">
        <v>2048</v>
      </c>
      <c r="M5" s="1639" t="s">
        <v>120</v>
      </c>
      <c r="N5" s="1640"/>
      <c r="O5" s="1641"/>
    </row>
    <row r="6" spans="1:15" outlineLevel="1">
      <c r="C6" s="961"/>
      <c r="D6" s="1634" t="s">
        <v>2062</v>
      </c>
      <c r="E6" s="1635"/>
      <c r="F6" s="1635"/>
      <c r="G6" s="1635"/>
      <c r="H6" s="1635"/>
      <c r="I6" s="1635"/>
      <c r="J6" s="1636"/>
      <c r="K6" s="185"/>
      <c r="L6" s="185"/>
      <c r="M6" s="961"/>
      <c r="N6" s="154"/>
      <c r="O6" s="962"/>
    </row>
    <row r="7" spans="1:15" s="55" customFormat="1" outlineLevel="2">
      <c r="C7" s="961"/>
      <c r="D7" s="914"/>
      <c r="E7" s="1637" t="s">
        <v>2068</v>
      </c>
      <c r="F7" s="1637"/>
      <c r="G7" s="1637"/>
      <c r="H7" s="1637"/>
      <c r="I7" s="1637"/>
      <c r="J7" s="1637"/>
      <c r="K7" s="185"/>
      <c r="L7" s="185"/>
      <c r="M7" s="961"/>
      <c r="N7" s="154"/>
      <c r="O7" s="962"/>
    </row>
    <row r="8" spans="1:15" s="55" customFormat="1" outlineLevel="2">
      <c r="C8" s="961"/>
      <c r="D8" s="914"/>
      <c r="E8" s="1637" t="s">
        <v>2069</v>
      </c>
      <c r="F8" s="1637"/>
      <c r="G8" s="1637"/>
      <c r="H8" s="1637"/>
      <c r="I8" s="1637"/>
      <c r="J8" s="1637"/>
      <c r="K8" s="185"/>
      <c r="L8" s="185"/>
      <c r="M8" s="961"/>
      <c r="N8" s="154"/>
      <c r="O8" s="962"/>
    </row>
    <row r="9" spans="1:15" s="55" customFormat="1" outlineLevel="2">
      <c r="C9" s="961"/>
      <c r="D9" s="914"/>
      <c r="E9" s="1637" t="s">
        <v>2070</v>
      </c>
      <c r="F9" s="1637"/>
      <c r="G9" s="1637"/>
      <c r="H9" s="1637"/>
      <c r="I9" s="1637"/>
      <c r="J9" s="1637"/>
      <c r="K9" s="185"/>
      <c r="L9" s="185"/>
      <c r="M9" s="961"/>
      <c r="N9" s="154"/>
      <c r="O9" s="962"/>
    </row>
    <row r="10" spans="1:15" s="55" customFormat="1" outlineLevel="2">
      <c r="C10" s="961"/>
      <c r="D10" s="914"/>
      <c r="E10" s="1637" t="s">
        <v>2071</v>
      </c>
      <c r="F10" s="1637"/>
      <c r="G10" s="1637"/>
      <c r="H10" s="1637"/>
      <c r="I10" s="1637"/>
      <c r="J10" s="1637"/>
      <c r="K10" s="185"/>
      <c r="L10" s="185"/>
      <c r="M10" s="961"/>
      <c r="N10" s="154"/>
      <c r="O10" s="962"/>
    </row>
    <row r="11" spans="1:15" s="55" customFormat="1" outlineLevel="2">
      <c r="C11" s="961"/>
      <c r="D11" s="914"/>
      <c r="E11" s="1637" t="s">
        <v>2072</v>
      </c>
      <c r="F11" s="1637"/>
      <c r="G11" s="1637"/>
      <c r="H11" s="1637"/>
      <c r="I11" s="1637"/>
      <c r="J11" s="1637"/>
      <c r="K11" s="185"/>
      <c r="L11" s="185"/>
      <c r="M11" s="961"/>
      <c r="N11" s="154"/>
      <c r="O11" s="962"/>
    </row>
    <row r="12" spans="1:15" s="55" customFormat="1" outlineLevel="2">
      <c r="C12" s="961"/>
      <c r="D12" s="914"/>
      <c r="E12" s="1637" t="s">
        <v>2073</v>
      </c>
      <c r="F12" s="1637"/>
      <c r="G12" s="1637"/>
      <c r="H12" s="1637"/>
      <c r="I12" s="1637"/>
      <c r="J12" s="1637"/>
      <c r="K12" s="185"/>
      <c r="L12" s="185"/>
      <c r="M12" s="961"/>
      <c r="N12" s="154"/>
      <c r="O12" s="962"/>
    </row>
    <row r="13" spans="1:15" s="55" customFormat="1" outlineLevel="2">
      <c r="C13" s="961"/>
      <c r="D13" s="914"/>
      <c r="E13" s="1637" t="s">
        <v>733</v>
      </c>
      <c r="F13" s="1637"/>
      <c r="G13" s="1637"/>
      <c r="H13" s="1637"/>
      <c r="I13" s="1637"/>
      <c r="J13" s="1637"/>
      <c r="K13" s="185"/>
      <c r="L13" s="185"/>
      <c r="M13" s="961"/>
      <c r="N13" s="154"/>
      <c r="O13" s="962"/>
    </row>
    <row r="14" spans="1:15" s="55" customFormat="1" outlineLevel="2" collapsed="1">
      <c r="C14" s="961"/>
      <c r="D14" s="914"/>
      <c r="E14" s="1637" t="s">
        <v>2074</v>
      </c>
      <c r="F14" s="1637"/>
      <c r="G14" s="1637"/>
      <c r="H14" s="1637"/>
      <c r="I14" s="1637"/>
      <c r="J14" s="1637"/>
      <c r="K14" s="185"/>
      <c r="L14" s="185"/>
      <c r="M14" s="961"/>
      <c r="N14" s="154"/>
      <c r="O14" s="962"/>
    </row>
    <row r="15" spans="1:15" s="55" customFormat="1" hidden="1" outlineLevel="3">
      <c r="C15" s="961"/>
      <c r="D15" s="914"/>
      <c r="E15" s="967"/>
      <c r="F15" s="1637" t="s">
        <v>4</v>
      </c>
      <c r="G15" s="1637"/>
      <c r="H15" s="1637"/>
      <c r="I15" s="1637"/>
      <c r="J15" s="1637"/>
      <c r="K15" s="185"/>
      <c r="L15" s="185"/>
      <c r="M15" s="961"/>
      <c r="N15" s="154"/>
      <c r="O15" s="962"/>
    </row>
    <row r="16" spans="1:15" s="55" customFormat="1" hidden="1" outlineLevel="3">
      <c r="C16" s="961"/>
      <c r="D16" s="914"/>
      <c r="E16" s="967"/>
      <c r="F16" s="1637" t="s">
        <v>8</v>
      </c>
      <c r="G16" s="1637"/>
      <c r="H16" s="1637"/>
      <c r="I16" s="1637"/>
      <c r="J16" s="1637"/>
      <c r="K16" s="185"/>
      <c r="L16" s="185"/>
      <c r="M16" s="961"/>
      <c r="N16" s="154"/>
      <c r="O16" s="962"/>
    </row>
    <row r="17" spans="3:15" s="55" customFormat="1" hidden="1" outlineLevel="3">
      <c r="C17" s="961"/>
      <c r="D17" s="914"/>
      <c r="E17" s="967"/>
      <c r="F17" s="1637" t="s">
        <v>2075</v>
      </c>
      <c r="G17" s="1637"/>
      <c r="H17" s="1637"/>
      <c r="I17" s="1637"/>
      <c r="J17" s="1637"/>
      <c r="K17" s="185"/>
      <c r="L17" s="185"/>
      <c r="M17" s="961"/>
      <c r="N17" s="154"/>
      <c r="O17" s="962"/>
    </row>
    <row r="18" spans="3:15" s="55" customFormat="1" hidden="1" outlineLevel="3">
      <c r="C18" s="961"/>
      <c r="D18" s="914"/>
      <c r="E18" s="967"/>
      <c r="F18" s="1637" t="s">
        <v>2076</v>
      </c>
      <c r="G18" s="1637"/>
      <c r="H18" s="1637"/>
      <c r="I18" s="1637"/>
      <c r="J18" s="1637"/>
      <c r="K18" s="185"/>
      <c r="L18" s="185"/>
      <c r="M18" s="961"/>
      <c r="N18" s="154"/>
      <c r="O18" s="962"/>
    </row>
    <row r="19" spans="3:15" outlineLevel="1">
      <c r="C19" s="961"/>
      <c r="D19" s="1634" t="s">
        <v>2063</v>
      </c>
      <c r="E19" s="1635"/>
      <c r="F19" s="1635"/>
      <c r="G19" s="1635"/>
      <c r="H19" s="1635"/>
      <c r="I19" s="1635"/>
      <c r="J19" s="1636"/>
      <c r="K19" s="185"/>
      <c r="L19" s="185"/>
      <c r="M19" s="961"/>
      <c r="N19" s="154"/>
      <c r="O19" s="962"/>
    </row>
    <row r="20" spans="3:15" s="55" customFormat="1" outlineLevel="2">
      <c r="C20" s="961"/>
      <c r="D20" s="914"/>
      <c r="E20" s="1637" t="s">
        <v>2077</v>
      </c>
      <c r="F20" s="1637"/>
      <c r="G20" s="1637"/>
      <c r="H20" s="1637"/>
      <c r="I20" s="1637"/>
      <c r="J20" s="1637"/>
      <c r="K20" s="185"/>
      <c r="L20" s="185"/>
      <c r="M20" s="961"/>
      <c r="N20" s="154"/>
      <c r="O20" s="962"/>
    </row>
    <row r="21" spans="3:15" s="55" customFormat="1" outlineLevel="2">
      <c r="C21" s="961"/>
      <c r="D21" s="914"/>
      <c r="E21" s="1637" t="s">
        <v>2078</v>
      </c>
      <c r="F21" s="1637"/>
      <c r="G21" s="1637"/>
      <c r="H21" s="1637"/>
      <c r="I21" s="1637"/>
      <c r="J21" s="1637"/>
      <c r="K21" s="185"/>
      <c r="L21" s="185"/>
      <c r="M21" s="961"/>
      <c r="N21" s="154"/>
      <c r="O21" s="962"/>
    </row>
    <row r="22" spans="3:15" s="55" customFormat="1" outlineLevel="2">
      <c r="C22" s="961"/>
      <c r="D22" s="914"/>
      <c r="E22" s="1637" t="s">
        <v>2079</v>
      </c>
      <c r="F22" s="1637"/>
      <c r="G22" s="1637"/>
      <c r="H22" s="1637"/>
      <c r="I22" s="1637"/>
      <c r="J22" s="1637"/>
      <c r="K22" s="185"/>
      <c r="L22" s="185"/>
      <c r="M22" s="961"/>
      <c r="N22" s="154"/>
      <c r="O22" s="962"/>
    </row>
    <row r="23" spans="3:15" s="55" customFormat="1" outlineLevel="2">
      <c r="C23" s="961"/>
      <c r="D23" s="914"/>
      <c r="E23" s="1637" t="s">
        <v>2080</v>
      </c>
      <c r="F23" s="1637"/>
      <c r="G23" s="1637"/>
      <c r="H23" s="1637"/>
      <c r="I23" s="1637"/>
      <c r="J23" s="1637"/>
      <c r="K23" s="185"/>
      <c r="L23" s="185"/>
      <c r="M23" s="961"/>
      <c r="N23" s="154"/>
      <c r="O23" s="962"/>
    </row>
    <row r="24" spans="3:15" s="55" customFormat="1" outlineLevel="2">
      <c r="C24" s="961"/>
      <c r="D24" s="914"/>
      <c r="E24" s="1637" t="s">
        <v>2081</v>
      </c>
      <c r="F24" s="1637"/>
      <c r="G24" s="1637"/>
      <c r="H24" s="1637"/>
      <c r="I24" s="1637"/>
      <c r="J24" s="1637"/>
      <c r="K24" s="185"/>
      <c r="L24" s="185"/>
      <c r="M24" s="961"/>
      <c r="N24" s="154"/>
      <c r="O24" s="962"/>
    </row>
    <row r="25" spans="3:15" s="55" customFormat="1" outlineLevel="2">
      <c r="C25" s="961"/>
      <c r="D25" s="914"/>
      <c r="E25" s="1637" t="s">
        <v>2082</v>
      </c>
      <c r="F25" s="1637"/>
      <c r="G25" s="1637"/>
      <c r="H25" s="1637"/>
      <c r="I25" s="1637"/>
      <c r="J25" s="1637"/>
      <c r="K25" s="185"/>
      <c r="L25" s="185"/>
      <c r="M25" s="961"/>
      <c r="N25" s="154"/>
      <c r="O25" s="962"/>
    </row>
    <row r="26" spans="3:15" s="55" customFormat="1" outlineLevel="2">
      <c r="C26" s="963"/>
      <c r="D26" s="968"/>
      <c r="E26" s="1637" t="s">
        <v>2083</v>
      </c>
      <c r="F26" s="1637"/>
      <c r="G26" s="1637"/>
      <c r="H26" s="1637"/>
      <c r="I26" s="1637"/>
      <c r="J26" s="1637"/>
      <c r="K26" s="185"/>
      <c r="L26" s="185"/>
      <c r="M26" s="963"/>
      <c r="N26" s="959"/>
      <c r="O26" s="964"/>
    </row>
    <row r="27" spans="3:15" s="55" customFormat="1">
      <c r="D27" s="906"/>
    </row>
    <row r="29" spans="3:15" ht="22.8">
      <c r="C29" s="1631" t="s">
        <v>2064</v>
      </c>
      <c r="D29" s="1632"/>
      <c r="E29" s="1632"/>
      <c r="F29" s="1632"/>
      <c r="G29" s="1632"/>
      <c r="H29" s="1632"/>
      <c r="I29" s="1632"/>
      <c r="J29" s="1633"/>
      <c r="K29" s="960" t="s">
        <v>838</v>
      </c>
      <c r="L29" s="960" t="s">
        <v>2048</v>
      </c>
      <c r="M29" s="1639" t="s">
        <v>120</v>
      </c>
      <c r="N29" s="1640"/>
      <c r="O29" s="1641"/>
    </row>
    <row r="30" spans="3:15" outlineLevel="1">
      <c r="C30" s="961"/>
      <c r="D30" s="1634" t="s">
        <v>2065</v>
      </c>
      <c r="E30" s="1635"/>
      <c r="F30" s="1635"/>
      <c r="G30" s="1635"/>
      <c r="H30" s="1635"/>
      <c r="I30" s="1635"/>
      <c r="J30" s="1636"/>
      <c r="K30" s="185"/>
      <c r="L30" s="185"/>
      <c r="M30" s="961"/>
      <c r="N30" s="154"/>
      <c r="O30" s="962"/>
    </row>
    <row r="31" spans="3:15" outlineLevel="2">
      <c r="C31" s="961"/>
      <c r="D31" s="154"/>
      <c r="E31" s="1637" t="s">
        <v>2084</v>
      </c>
      <c r="F31" s="1637"/>
      <c r="G31" s="1637"/>
      <c r="H31" s="1637"/>
      <c r="I31" s="1637"/>
      <c r="J31" s="1637"/>
      <c r="K31" s="185"/>
      <c r="L31" s="185"/>
      <c r="M31" s="961"/>
      <c r="N31" s="154"/>
      <c r="O31" s="962"/>
    </row>
    <row r="32" spans="3:15" outlineLevel="2">
      <c r="C32" s="961"/>
      <c r="D32" s="154"/>
      <c r="E32" s="1637" t="s">
        <v>2085</v>
      </c>
      <c r="F32" s="1637"/>
      <c r="G32" s="1637"/>
      <c r="H32" s="1637"/>
      <c r="I32" s="1637"/>
      <c r="J32" s="1637"/>
      <c r="K32" s="185"/>
      <c r="L32" s="185"/>
      <c r="M32" s="961"/>
      <c r="N32" s="154"/>
      <c r="O32" s="962"/>
    </row>
    <row r="33" spans="3:15" outlineLevel="2">
      <c r="C33" s="961"/>
      <c r="D33" s="154"/>
      <c r="E33" s="1637" t="s">
        <v>2086</v>
      </c>
      <c r="F33" s="1637"/>
      <c r="G33" s="1637"/>
      <c r="H33" s="1637"/>
      <c r="I33" s="1637"/>
      <c r="J33" s="1637"/>
      <c r="K33" s="185"/>
      <c r="L33" s="185"/>
      <c r="M33" s="961"/>
      <c r="N33" s="154"/>
      <c r="O33" s="962"/>
    </row>
    <row r="34" spans="3:15" outlineLevel="2">
      <c r="C34" s="961"/>
      <c r="D34" s="154"/>
      <c r="E34" s="1637" t="s">
        <v>2087</v>
      </c>
      <c r="F34" s="1637"/>
      <c r="G34" s="1637"/>
      <c r="H34" s="1637"/>
      <c r="I34" s="1637"/>
      <c r="J34" s="1637"/>
      <c r="K34" s="185"/>
      <c r="L34" s="185"/>
      <c r="M34" s="961"/>
      <c r="N34" s="154"/>
      <c r="O34" s="962"/>
    </row>
    <row r="35" spans="3:15" outlineLevel="2">
      <c r="C35" s="961"/>
      <c r="D35" s="154"/>
      <c r="E35" s="1637" t="s">
        <v>2088</v>
      </c>
      <c r="F35" s="1637"/>
      <c r="G35" s="1637"/>
      <c r="H35" s="1637"/>
      <c r="I35" s="1637"/>
      <c r="J35" s="1637"/>
      <c r="K35" s="185"/>
      <c r="L35" s="185"/>
      <c r="M35" s="961"/>
      <c r="N35" s="154"/>
      <c r="O35" s="962"/>
    </row>
    <row r="36" spans="3:15" outlineLevel="2">
      <c r="C36" s="961"/>
      <c r="D36" s="154"/>
      <c r="E36" s="1637" t="s">
        <v>2099</v>
      </c>
      <c r="F36" s="1637"/>
      <c r="G36" s="1637"/>
      <c r="H36" s="1637"/>
      <c r="I36" s="1637"/>
      <c r="J36" s="1637"/>
      <c r="K36" s="185"/>
      <c r="L36" s="185"/>
      <c r="M36" s="961"/>
      <c r="N36" s="154"/>
      <c r="O36" s="962"/>
    </row>
    <row r="37" spans="3:15" outlineLevel="2">
      <c r="C37" s="961"/>
      <c r="D37" s="154"/>
      <c r="E37" s="1637" t="s">
        <v>2089</v>
      </c>
      <c r="F37" s="1637"/>
      <c r="G37" s="1637"/>
      <c r="H37" s="1637"/>
      <c r="I37" s="1637"/>
      <c r="J37" s="1637"/>
      <c r="K37" s="185"/>
      <c r="L37" s="185"/>
      <c r="M37" s="961"/>
      <c r="N37" s="154"/>
      <c r="O37" s="962"/>
    </row>
    <row r="38" spans="3:15" outlineLevel="2">
      <c r="C38" s="961"/>
      <c r="D38" s="154"/>
      <c r="E38" s="1637" t="s">
        <v>2090</v>
      </c>
      <c r="F38" s="1637"/>
      <c r="G38" s="1637"/>
      <c r="H38" s="1637"/>
      <c r="I38" s="1637"/>
      <c r="J38" s="1637"/>
      <c r="K38" s="185"/>
      <c r="L38" s="185"/>
      <c r="M38" s="961"/>
      <c r="N38" s="154"/>
      <c r="O38" s="962"/>
    </row>
    <row r="39" spans="3:15" s="55" customFormat="1" ht="4.95" customHeight="1" outlineLevel="2">
      <c r="C39" s="961"/>
      <c r="D39" s="154"/>
      <c r="E39" s="1638"/>
      <c r="F39" s="1638"/>
      <c r="G39" s="1638"/>
      <c r="H39" s="1638"/>
      <c r="I39" s="1638"/>
      <c r="J39" s="1638"/>
      <c r="K39" s="185"/>
      <c r="L39" s="185"/>
      <c r="M39" s="961"/>
      <c r="N39" s="154"/>
      <c r="O39" s="962"/>
    </row>
    <row r="40" spans="3:15" s="55" customFormat="1" outlineLevel="2">
      <c r="C40" s="961"/>
      <c r="D40" s="154"/>
      <c r="E40" s="1637" t="s">
        <v>2091</v>
      </c>
      <c r="F40" s="1637"/>
      <c r="G40" s="1637"/>
      <c r="H40" s="1637"/>
      <c r="I40" s="1637"/>
      <c r="J40" s="1637"/>
      <c r="K40" s="185"/>
      <c r="L40" s="185"/>
      <c r="M40" s="961"/>
      <c r="N40" s="154"/>
      <c r="O40" s="962"/>
    </row>
    <row r="41" spans="3:15" s="55" customFormat="1" outlineLevel="2">
      <c r="C41" s="961"/>
      <c r="D41" s="154"/>
      <c r="E41" s="1637" t="s">
        <v>2092</v>
      </c>
      <c r="F41" s="1637"/>
      <c r="G41" s="1637"/>
      <c r="H41" s="1637"/>
      <c r="I41" s="1637"/>
      <c r="J41" s="1637"/>
      <c r="K41" s="185"/>
      <c r="L41" s="185"/>
      <c r="M41" s="961"/>
      <c r="N41" s="154"/>
      <c r="O41" s="962"/>
    </row>
    <row r="42" spans="3:15" s="55" customFormat="1" outlineLevel="2">
      <c r="C42" s="961"/>
      <c r="D42" s="154"/>
      <c r="E42" s="1637" t="s">
        <v>2098</v>
      </c>
      <c r="F42" s="1637"/>
      <c r="G42" s="1637"/>
      <c r="H42" s="1637"/>
      <c r="I42" s="1637"/>
      <c r="J42" s="1637"/>
      <c r="K42" s="185"/>
      <c r="L42" s="185"/>
      <c r="M42" s="961"/>
      <c r="N42" s="154"/>
      <c r="O42" s="962"/>
    </row>
    <row r="43" spans="3:15" s="55" customFormat="1" outlineLevel="2">
      <c r="C43" s="961"/>
      <c r="D43" s="154"/>
      <c r="E43" s="1637" t="s">
        <v>2093</v>
      </c>
      <c r="F43" s="1637"/>
      <c r="G43" s="1637"/>
      <c r="H43" s="1637"/>
      <c r="I43" s="1637"/>
      <c r="J43" s="1637"/>
      <c r="K43" s="185"/>
      <c r="L43" s="185"/>
      <c r="M43" s="961"/>
      <c r="N43" s="154"/>
      <c r="O43" s="962"/>
    </row>
    <row r="44" spans="3:15" outlineLevel="1">
      <c r="C44" s="961"/>
      <c r="D44" s="1634" t="s">
        <v>2066</v>
      </c>
      <c r="E44" s="1635"/>
      <c r="F44" s="1635"/>
      <c r="G44" s="1635"/>
      <c r="H44" s="1635"/>
      <c r="I44" s="1635"/>
      <c r="J44" s="1636"/>
      <c r="K44" s="185"/>
      <c r="L44" s="185"/>
      <c r="M44" s="961"/>
      <c r="N44" s="154"/>
      <c r="O44" s="962"/>
    </row>
    <row r="45" spans="3:15" outlineLevel="2">
      <c r="C45" s="961"/>
      <c r="D45" s="154"/>
      <c r="E45" s="1637" t="s">
        <v>2094</v>
      </c>
      <c r="F45" s="1637"/>
      <c r="G45" s="1637"/>
      <c r="H45" s="1637"/>
      <c r="I45" s="1637"/>
      <c r="J45" s="1637"/>
      <c r="K45" s="185"/>
      <c r="L45" s="185"/>
      <c r="M45" s="961"/>
      <c r="N45" s="154"/>
      <c r="O45" s="962"/>
    </row>
    <row r="46" spans="3:15" outlineLevel="2">
      <c r="C46" s="961"/>
      <c r="D46" s="154"/>
      <c r="E46" s="1637" t="s">
        <v>2095</v>
      </c>
      <c r="F46" s="1637"/>
      <c r="G46" s="1637"/>
      <c r="H46" s="1637"/>
      <c r="I46" s="1637"/>
      <c r="J46" s="1637"/>
      <c r="K46" s="185"/>
      <c r="L46" s="185"/>
      <c r="M46" s="961"/>
      <c r="N46" s="154"/>
      <c r="O46" s="962"/>
    </row>
    <row r="47" spans="3:15" outlineLevel="2">
      <c r="C47" s="961"/>
      <c r="D47" s="154"/>
      <c r="E47" s="1637" t="s">
        <v>2096</v>
      </c>
      <c r="F47" s="1637"/>
      <c r="G47" s="1637"/>
      <c r="H47" s="1637"/>
      <c r="I47" s="1637"/>
      <c r="J47" s="1637"/>
      <c r="K47" s="185"/>
      <c r="L47" s="185"/>
      <c r="M47" s="961"/>
      <c r="N47" s="154"/>
      <c r="O47" s="962"/>
    </row>
    <row r="48" spans="3:15" outlineLevel="2">
      <c r="C48" s="961"/>
      <c r="D48" s="154"/>
      <c r="E48" s="1637" t="s">
        <v>2097</v>
      </c>
      <c r="F48" s="1637"/>
      <c r="G48" s="1637"/>
      <c r="H48" s="1637"/>
      <c r="I48" s="1637"/>
      <c r="J48" s="1637"/>
      <c r="K48" s="185"/>
      <c r="L48" s="185"/>
      <c r="M48" s="961"/>
      <c r="N48" s="154"/>
      <c r="O48" s="962"/>
    </row>
    <row r="49" spans="3:15" outlineLevel="2">
      <c r="C49" s="961"/>
      <c r="D49" s="154"/>
      <c r="E49" s="1637" t="s">
        <v>2081</v>
      </c>
      <c r="F49" s="1637"/>
      <c r="G49" s="1637"/>
      <c r="H49" s="1637"/>
      <c r="I49" s="1637"/>
      <c r="J49" s="1637"/>
      <c r="K49" s="185"/>
      <c r="L49" s="185"/>
      <c r="M49" s="961"/>
      <c r="N49" s="154"/>
      <c r="O49" s="962"/>
    </row>
    <row r="50" spans="3:15" outlineLevel="2">
      <c r="C50" s="963"/>
      <c r="D50" s="959"/>
      <c r="E50" s="1637" t="s">
        <v>2100</v>
      </c>
      <c r="F50" s="1637"/>
      <c r="G50" s="1637"/>
      <c r="H50" s="1637"/>
      <c r="I50" s="1637"/>
      <c r="J50" s="1637"/>
      <c r="K50" s="185"/>
      <c r="L50" s="185"/>
      <c r="M50" s="963"/>
      <c r="N50" s="959"/>
      <c r="O50" s="964"/>
    </row>
  </sheetData>
  <mergeCells count="47">
    <mergeCell ref="B2:O2"/>
    <mergeCell ref="M5:O5"/>
    <mergeCell ref="M29:O29"/>
    <mergeCell ref="E42:J42"/>
    <mergeCell ref="E43:J43"/>
    <mergeCell ref="E35:J35"/>
    <mergeCell ref="E36:J36"/>
    <mergeCell ref="E37:J37"/>
    <mergeCell ref="E38:J38"/>
    <mergeCell ref="F15:J15"/>
    <mergeCell ref="F16:J16"/>
    <mergeCell ref="F17:J17"/>
    <mergeCell ref="F18:J18"/>
    <mergeCell ref="E33:J33"/>
    <mergeCell ref="E34:J34"/>
    <mergeCell ref="E7:J7"/>
    <mergeCell ref="E12:J12"/>
    <mergeCell ref="E49:J49"/>
    <mergeCell ref="E50:J50"/>
    <mergeCell ref="E39:J39"/>
    <mergeCell ref="E45:J45"/>
    <mergeCell ref="E46:J46"/>
    <mergeCell ref="E47:J47"/>
    <mergeCell ref="E48:J48"/>
    <mergeCell ref="D44:J44"/>
    <mergeCell ref="E40:J40"/>
    <mergeCell ref="E41:J41"/>
    <mergeCell ref="E25:J25"/>
    <mergeCell ref="E26:J26"/>
    <mergeCell ref="E31:J31"/>
    <mergeCell ref="E32:J32"/>
    <mergeCell ref="C5:J5"/>
    <mergeCell ref="C29:J29"/>
    <mergeCell ref="D30:J30"/>
    <mergeCell ref="D6:J6"/>
    <mergeCell ref="D19:J19"/>
    <mergeCell ref="E21:J21"/>
    <mergeCell ref="E22:J22"/>
    <mergeCell ref="E23:J23"/>
    <mergeCell ref="E24:J24"/>
    <mergeCell ref="E13:J13"/>
    <mergeCell ref="E14:J14"/>
    <mergeCell ref="E20:J20"/>
    <mergeCell ref="E8:J8"/>
    <mergeCell ref="E9:J9"/>
    <mergeCell ref="E10:J10"/>
    <mergeCell ref="E11:J11"/>
  </mergeCells>
  <hyperlinks>
    <hyperlink ref="A1" location="Sommaire!A1" display="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sheetPr codeName="Feuil18">
    <tabColor theme="9" tint="0.39997558519241921"/>
  </sheetPr>
  <dimension ref="A1:I21"/>
  <sheetViews>
    <sheetView showGridLines="0" workbookViewId="0">
      <pane ySplit="1" topLeftCell="A2" activePane="bottomLeft" state="frozen"/>
      <selection pane="bottomLeft"/>
    </sheetView>
  </sheetViews>
  <sheetFormatPr baseColWidth="10" defaultColWidth="11.44140625" defaultRowHeight="13.2" outlineLevelRow="2"/>
  <cols>
    <col min="1" max="1" width="4.33203125" style="551" customWidth="1"/>
    <col min="2" max="3" width="2.6640625" style="551" customWidth="1"/>
    <col min="4" max="4" width="26.88671875" style="551" bestFit="1" customWidth="1"/>
    <col min="5" max="6" width="14.6640625" style="551" customWidth="1"/>
    <col min="7" max="7" width="19.33203125" style="551" customWidth="1"/>
    <col min="8" max="8" width="14.6640625" style="551" customWidth="1"/>
    <col min="9" max="9" width="50.6640625" style="551" customWidth="1"/>
    <col min="10" max="16384" width="11.44140625" style="551"/>
  </cols>
  <sheetData>
    <row r="1" spans="1:9" ht="12" customHeight="1" thickBot="1">
      <c r="A1" s="981" t="s">
        <v>2015</v>
      </c>
    </row>
    <row r="2" spans="1:9" ht="24" customHeight="1" thickBot="1">
      <c r="B2" s="1602" t="s">
        <v>1685</v>
      </c>
      <c r="C2" s="1603"/>
      <c r="D2" s="1603"/>
      <c r="E2" s="1603"/>
      <c r="F2" s="1603"/>
      <c r="G2" s="1603"/>
      <c r="H2" s="1603"/>
      <c r="I2" s="1604"/>
    </row>
    <row r="3" spans="1:9" s="589" customFormat="1" ht="9" customHeight="1" thickBot="1">
      <c r="B3" s="603"/>
      <c r="C3" s="603"/>
      <c r="D3" s="603"/>
      <c r="E3" s="603"/>
      <c r="F3" s="603"/>
      <c r="G3" s="603"/>
    </row>
    <row r="4" spans="1:9" ht="28.2" thickBot="1">
      <c r="B4" s="938"/>
      <c r="C4" s="938"/>
      <c r="D4" s="971"/>
      <c r="E4" s="711">
        <f>'Informations complémentaire'!D8</f>
        <v>2012</v>
      </c>
      <c r="F4" s="712">
        <f>IFERROR('Informations complémentaire'!D8-1,'Informations complémentaire'!D8&amp;" - 1")</f>
        <v>2011</v>
      </c>
      <c r="G4" s="713" t="s">
        <v>1997</v>
      </c>
      <c r="H4" s="847" t="s">
        <v>1930</v>
      </c>
      <c r="I4" s="836" t="s">
        <v>120</v>
      </c>
    </row>
    <row r="5" spans="1:9" hidden="1" outlineLevel="1">
      <c r="B5" s="567"/>
      <c r="C5" s="969" t="s">
        <v>690</v>
      </c>
      <c r="D5" s="970"/>
      <c r="E5" s="838">
        <f>'Bilan Fonctionnel'!J68</f>
        <v>18360000</v>
      </c>
      <c r="F5" s="70">
        <f>'Bilan Fonctionnel'!K68</f>
        <v>13023200</v>
      </c>
      <c r="G5" s="70">
        <f>E5-F5</f>
        <v>5336800</v>
      </c>
      <c r="H5" s="848">
        <f>IF(F5&lt;&gt;0,(E5-F5)/F5,"")</f>
        <v>0.40979175625038394</v>
      </c>
      <c r="I5" s="78"/>
    </row>
    <row r="6" spans="1:9" ht="13.8" hidden="1" outlineLevel="1" thickBot="1">
      <c r="B6" s="557"/>
      <c r="C6" s="842" t="s">
        <v>1686</v>
      </c>
      <c r="D6" s="843"/>
      <c r="E6" s="844">
        <f>'Bilan Fonctionnel'!J6</f>
        <v>15085000</v>
      </c>
      <c r="F6" s="845">
        <f>'Bilan Fonctionnel'!K6</f>
        <v>11510000</v>
      </c>
      <c r="G6" s="846">
        <f t="shared" ref="G6:G21" si="0">E6-F6</f>
        <v>3575000</v>
      </c>
      <c r="H6" s="849">
        <f t="shared" ref="H6:H21" si="1">IF(F6&lt;&gt;0,(E6-F6)/F6,"")</f>
        <v>0.3105994787141616</v>
      </c>
      <c r="I6" s="82"/>
    </row>
    <row r="7" spans="1:9" ht="39.9" customHeight="1" collapsed="1">
      <c r="B7" s="1648" t="s">
        <v>1687</v>
      </c>
      <c r="C7" s="1649"/>
      <c r="D7" s="1650"/>
      <c r="E7" s="839">
        <f>E5-E6</f>
        <v>3275000</v>
      </c>
      <c r="F7" s="840">
        <f>F5-F6</f>
        <v>1513200</v>
      </c>
      <c r="G7" s="841">
        <f t="shared" si="0"/>
        <v>1761800</v>
      </c>
      <c r="H7" s="850">
        <f t="shared" si="1"/>
        <v>1.1642876024319324</v>
      </c>
      <c r="I7" s="837"/>
    </row>
    <row r="8" spans="1:9" hidden="1" outlineLevel="2">
      <c r="B8" s="553"/>
      <c r="C8" s="607"/>
      <c r="D8" s="611" t="s">
        <v>1688</v>
      </c>
      <c r="E8" s="125">
        <f>'Bilan Fonctionnel'!J31</f>
        <v>2897000</v>
      </c>
      <c r="F8" s="75">
        <f>'Bilan Fonctionnel'!K31</f>
        <v>2543000</v>
      </c>
      <c r="G8" s="67">
        <f t="shared" si="0"/>
        <v>354000</v>
      </c>
      <c r="H8" s="851">
        <f t="shared" si="1"/>
        <v>0.13920566260322453</v>
      </c>
      <c r="I8" s="79"/>
    </row>
    <row r="9" spans="1:9" hidden="1" outlineLevel="2">
      <c r="B9" s="553"/>
      <c r="C9" s="607"/>
      <c r="D9" s="612" t="s">
        <v>1691</v>
      </c>
      <c r="E9" s="125">
        <f>'Bilan Fonctionnel'!J37</f>
        <v>0</v>
      </c>
      <c r="F9" s="75">
        <f>'Bilan Fonctionnel'!K37</f>
        <v>0</v>
      </c>
      <c r="G9" s="67">
        <f t="shared" si="0"/>
        <v>0</v>
      </c>
      <c r="H9" s="851" t="str">
        <f t="shared" si="1"/>
        <v/>
      </c>
      <c r="I9" s="79"/>
    </row>
    <row r="10" spans="1:9" hidden="1" outlineLevel="2">
      <c r="B10" s="553"/>
      <c r="C10" s="607"/>
      <c r="D10" s="612" t="s">
        <v>1689</v>
      </c>
      <c r="E10" s="125">
        <f>'Bilan Fonctionnel'!J41</f>
        <v>4774000</v>
      </c>
      <c r="F10" s="75">
        <f>'Bilan Fonctionnel'!K41</f>
        <v>4805200</v>
      </c>
      <c r="G10" s="67">
        <f t="shared" si="0"/>
        <v>-31200</v>
      </c>
      <c r="H10" s="851">
        <f t="shared" si="1"/>
        <v>-6.4929659535503201E-3</v>
      </c>
      <c r="I10" s="79"/>
    </row>
    <row r="11" spans="1:9" hidden="1" outlineLevel="2">
      <c r="B11" s="553"/>
      <c r="C11" s="607"/>
      <c r="D11" s="612" t="s">
        <v>1690</v>
      </c>
      <c r="E11" s="125">
        <f>'Bilan Fonctionnel'!J95</f>
        <v>0</v>
      </c>
      <c r="F11" s="75">
        <f>'Bilan Fonctionnel'!K95</f>
        <v>0</v>
      </c>
      <c r="G11" s="67">
        <f t="shared" si="0"/>
        <v>0</v>
      </c>
      <c r="H11" s="851" t="str">
        <f t="shared" si="1"/>
        <v/>
      </c>
      <c r="I11" s="79"/>
    </row>
    <row r="12" spans="1:9" hidden="1" outlineLevel="2">
      <c r="B12" s="553"/>
      <c r="C12" s="607"/>
      <c r="D12" s="612" t="s">
        <v>1692</v>
      </c>
      <c r="E12" s="125">
        <f>'Bilan Fonctionnel'!J99</f>
        <v>4826000</v>
      </c>
      <c r="F12" s="75">
        <f>'Bilan Fonctionnel'!K99</f>
        <v>3599700</v>
      </c>
      <c r="G12" s="67">
        <f t="shared" si="0"/>
        <v>1226300</v>
      </c>
      <c r="H12" s="851">
        <f t="shared" si="1"/>
        <v>0.34066727782870793</v>
      </c>
      <c r="I12" s="79"/>
    </row>
    <row r="13" spans="1:9" ht="39.9" hidden="1" customHeight="1" outlineLevel="1" collapsed="1">
      <c r="B13" s="553"/>
      <c r="C13" s="1643" t="s">
        <v>1693</v>
      </c>
      <c r="D13" s="1644"/>
      <c r="E13" s="126">
        <f>E8+E9+E10-E11-E12</f>
        <v>2845000</v>
      </c>
      <c r="F13" s="128">
        <f>F8+F9+F10-F11-F12</f>
        <v>3748500</v>
      </c>
      <c r="G13" s="707">
        <f t="shared" si="0"/>
        <v>-903500</v>
      </c>
      <c r="H13" s="852">
        <f t="shared" si="1"/>
        <v>-0.2410297452314259</v>
      </c>
      <c r="I13" s="79"/>
    </row>
    <row r="14" spans="1:9" hidden="1" outlineLevel="2">
      <c r="B14" s="553"/>
      <c r="C14" s="607"/>
      <c r="D14" s="611" t="s">
        <v>680</v>
      </c>
      <c r="E14" s="125">
        <f>'Bilan Fonctionnel'!J50</f>
        <v>90000</v>
      </c>
      <c r="F14" s="75">
        <f>'Bilan Fonctionnel'!K50</f>
        <v>-1455200</v>
      </c>
      <c r="G14" s="67">
        <f t="shared" si="0"/>
        <v>1545200</v>
      </c>
      <c r="H14" s="851">
        <f t="shared" si="1"/>
        <v>-1.0618471687740516</v>
      </c>
      <c r="I14" s="79"/>
    </row>
    <row r="15" spans="1:9" hidden="1" outlineLevel="2">
      <c r="B15" s="553"/>
      <c r="C15" s="607"/>
      <c r="D15" s="612" t="s">
        <v>1694</v>
      </c>
      <c r="E15" s="125">
        <f>'Bilan Fonctionnel'!J111</f>
        <v>0</v>
      </c>
      <c r="F15" s="75">
        <f>'Bilan Fonctionnel'!K111</f>
        <v>0</v>
      </c>
      <c r="G15" s="67">
        <f t="shared" si="0"/>
        <v>0</v>
      </c>
      <c r="H15" s="851" t="str">
        <f t="shared" si="1"/>
        <v/>
      </c>
      <c r="I15" s="79"/>
    </row>
    <row r="16" spans="1:9" ht="39.9" hidden="1" customHeight="1" outlineLevel="1" collapsed="1">
      <c r="B16" s="553"/>
      <c r="C16" s="1643" t="s">
        <v>1695</v>
      </c>
      <c r="D16" s="1644"/>
      <c r="E16" s="126">
        <f>E14-E15</f>
        <v>90000</v>
      </c>
      <c r="F16" s="128">
        <f>F14-F15</f>
        <v>-1455200</v>
      </c>
      <c r="G16" s="707">
        <f t="shared" si="0"/>
        <v>1545200</v>
      </c>
      <c r="H16" s="852">
        <f t="shared" si="1"/>
        <v>-1.0618471687740516</v>
      </c>
      <c r="I16" s="79"/>
    </row>
    <row r="17" spans="2:9" ht="39.9" customHeight="1" collapsed="1">
      <c r="B17" s="1642" t="s">
        <v>1696</v>
      </c>
      <c r="C17" s="1643"/>
      <c r="D17" s="1644"/>
      <c r="E17" s="126">
        <f>E13+E16</f>
        <v>2935000</v>
      </c>
      <c r="F17" s="128">
        <f>F13+F16</f>
        <v>2293300</v>
      </c>
      <c r="G17" s="707">
        <f t="shared" si="0"/>
        <v>641700</v>
      </c>
      <c r="H17" s="852">
        <f t="shared" si="1"/>
        <v>0.27981511359176731</v>
      </c>
      <c r="I17" s="79"/>
    </row>
    <row r="18" spans="2:9" hidden="1" outlineLevel="1">
      <c r="B18" s="553"/>
      <c r="C18" s="609" t="s">
        <v>681</v>
      </c>
      <c r="D18" s="610"/>
      <c r="E18" s="125">
        <f>'Bilan Fonctionnel'!J60</f>
        <v>990000</v>
      </c>
      <c r="F18" s="75">
        <f>'Bilan Fonctionnel'!K60</f>
        <v>85800</v>
      </c>
      <c r="G18" s="67">
        <f t="shared" si="0"/>
        <v>904200</v>
      </c>
      <c r="H18" s="851">
        <f t="shared" si="1"/>
        <v>10.538461538461538</v>
      </c>
      <c r="I18" s="79"/>
    </row>
    <row r="19" spans="2:9" hidden="1" outlineLevel="1">
      <c r="B19" s="553"/>
      <c r="C19" s="608" t="s">
        <v>1697</v>
      </c>
      <c r="D19" s="610"/>
      <c r="E19" s="125">
        <f>'Bilan Fonctionnel'!J124</f>
        <v>800000</v>
      </c>
      <c r="F19" s="75">
        <f>'Bilan Fonctionnel'!K124</f>
        <v>800000</v>
      </c>
      <c r="G19" s="67">
        <f t="shared" si="0"/>
        <v>0</v>
      </c>
      <c r="H19" s="851">
        <f t="shared" si="1"/>
        <v>0</v>
      </c>
      <c r="I19" s="79"/>
    </row>
    <row r="20" spans="2:9" ht="39.9" customHeight="1" collapsed="1">
      <c r="B20" s="1642" t="s">
        <v>1709</v>
      </c>
      <c r="C20" s="1643"/>
      <c r="D20" s="1644"/>
      <c r="E20" s="126">
        <f>E18-E19</f>
        <v>190000</v>
      </c>
      <c r="F20" s="128">
        <f>F18-F19</f>
        <v>-714200</v>
      </c>
      <c r="G20" s="707">
        <f t="shared" si="0"/>
        <v>904200</v>
      </c>
      <c r="H20" s="852">
        <f t="shared" si="1"/>
        <v>-1.2660319238308597</v>
      </c>
      <c r="I20" s="79"/>
    </row>
    <row r="21" spans="2:9" ht="39.9" customHeight="1" thickBot="1">
      <c r="B21" s="1645" t="s">
        <v>1708</v>
      </c>
      <c r="C21" s="1646"/>
      <c r="D21" s="1647"/>
      <c r="E21" s="613">
        <f>E7-E17</f>
        <v>340000</v>
      </c>
      <c r="F21" s="614">
        <f>F7-F17</f>
        <v>-780100</v>
      </c>
      <c r="G21" s="710">
        <f t="shared" si="0"/>
        <v>1120100</v>
      </c>
      <c r="H21" s="853">
        <f t="shared" si="1"/>
        <v>-1.4358415587745161</v>
      </c>
      <c r="I21" s="82"/>
    </row>
  </sheetData>
  <mergeCells count="7">
    <mergeCell ref="B2:I2"/>
    <mergeCell ref="B20:D20"/>
    <mergeCell ref="B21:D21"/>
    <mergeCell ref="B7:D7"/>
    <mergeCell ref="B17:D17"/>
    <mergeCell ref="C16:D16"/>
    <mergeCell ref="C13:D13"/>
  </mergeCells>
  <hyperlinks>
    <hyperlink ref="A1" location="Sommaire!A1" display="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Feuil3">
    <tabColor theme="3" tint="0.59999389629810485"/>
    <outlinePr summaryBelow="0" summaryRight="0"/>
  </sheetPr>
  <dimension ref="A1:U51"/>
  <sheetViews>
    <sheetView showGridLines="0" zoomScale="85" zoomScaleNormal="85" workbookViewId="0">
      <pane xSplit="4" ySplit="5" topLeftCell="E26" activePane="bottomRight" state="frozen"/>
      <selection activeCell="C99" sqref="C99:C137"/>
      <selection pane="topRight" activeCell="C99" sqref="C99:C137"/>
      <selection pane="bottomLeft" activeCell="C99" sqref="C99:C137"/>
      <selection pane="bottomRight" activeCell="S41" sqref="S41"/>
    </sheetView>
  </sheetViews>
  <sheetFormatPr baseColWidth="10" defaultColWidth="17.33203125" defaultRowHeight="15.75" customHeight="1" outlineLevelCol="1"/>
  <cols>
    <col min="1" max="1" width="2.88671875" customWidth="1"/>
    <col min="2" max="2" width="5.109375" customWidth="1"/>
    <col min="3" max="3" width="4.33203125" customWidth="1"/>
    <col min="4" max="4" width="11.6640625" customWidth="1"/>
    <col min="5" max="5" width="9.88671875" customWidth="1"/>
    <col min="6" max="6" width="13.109375" customWidth="1"/>
    <col min="7" max="7" width="12.44140625" style="55" customWidth="1"/>
    <col min="8" max="8" width="42.44140625" style="55" customWidth="1"/>
    <col min="9" max="9" width="4.88671875" style="55" customWidth="1"/>
    <col min="10" max="10" width="13.6640625" customWidth="1"/>
    <col min="11" max="11" width="4.88671875" style="55" customWidth="1"/>
    <col min="12" max="12" width="13.6640625" customWidth="1"/>
    <col min="13" max="13" width="14.21875" bestFit="1" customWidth="1" collapsed="1"/>
    <col min="14" max="14" width="4.88671875" style="55" hidden="1" customWidth="1" outlineLevel="1"/>
    <col min="15" max="15" width="13.6640625" style="55" hidden="1" customWidth="1" outlineLevel="1"/>
    <col min="16" max="16" width="4.88671875" style="55" hidden="1" customWidth="1" outlineLevel="1"/>
    <col min="17" max="18" width="13.6640625" style="55" hidden="1" customWidth="1" outlineLevel="1"/>
    <col min="19" max="19" width="13.6640625" customWidth="1"/>
  </cols>
  <sheetData>
    <row r="1" spans="1:21" s="55" customFormat="1" ht="15.75" customHeight="1">
      <c r="A1" s="981" t="s">
        <v>2015</v>
      </c>
    </row>
    <row r="2" spans="1:21" ht="15.75" customHeight="1" thickBot="1">
      <c r="A2" s="1"/>
      <c r="B2" s="1"/>
      <c r="C2" s="1"/>
      <c r="D2" s="1"/>
      <c r="E2" s="2"/>
      <c r="F2" s="1"/>
      <c r="G2" s="1"/>
      <c r="H2" s="1"/>
      <c r="I2" s="3"/>
      <c r="J2" s="1"/>
      <c r="K2" s="1"/>
      <c r="L2" s="4"/>
      <c r="M2" s="4"/>
      <c r="N2" s="3"/>
      <c r="O2" s="1"/>
      <c r="P2" s="1"/>
      <c r="Q2" s="4"/>
      <c r="R2" s="4"/>
      <c r="S2" s="4"/>
    </row>
    <row r="3" spans="1:21" ht="25.5" customHeight="1" thickBot="1">
      <c r="A3" s="1"/>
      <c r="B3" s="1015" t="s">
        <v>2101</v>
      </c>
      <c r="C3" s="1016"/>
      <c r="D3" s="1016"/>
      <c r="E3" s="1016"/>
      <c r="F3" s="1016"/>
      <c r="G3" s="1016"/>
      <c r="H3" s="1016"/>
      <c r="I3" s="1016"/>
      <c r="J3" s="1016"/>
      <c r="K3" s="1016"/>
      <c r="L3" s="1016"/>
      <c r="M3" s="1016"/>
      <c r="N3" s="1017"/>
      <c r="O3" s="1017"/>
      <c r="P3" s="1017"/>
      <c r="Q3" s="1017"/>
      <c r="R3" s="1017"/>
      <c r="S3" s="1018"/>
      <c r="T3" s="55"/>
      <c r="U3" s="55"/>
    </row>
    <row r="4" spans="1:21" ht="15" customHeight="1">
      <c r="A4" s="1"/>
      <c r="B4" s="1060"/>
      <c r="C4" s="1061"/>
      <c r="D4" s="1062"/>
      <c r="E4" s="1048" t="s">
        <v>845</v>
      </c>
      <c r="F4" s="1066" t="s">
        <v>844</v>
      </c>
      <c r="G4" s="1067"/>
      <c r="H4" s="1068"/>
      <c r="I4" s="1039">
        <f>'Informations complémentaire'!D8</f>
        <v>2012</v>
      </c>
      <c r="J4" s="1040"/>
      <c r="K4" s="1040"/>
      <c r="L4" s="1040"/>
      <c r="M4" s="1041"/>
      <c r="N4" s="1039">
        <f>IFERROR('Informations complémentaire'!D8-1,'Informations complémentaire'!D8&amp;" - 1")</f>
        <v>2011</v>
      </c>
      <c r="O4" s="1040"/>
      <c r="P4" s="1040"/>
      <c r="Q4" s="1041"/>
      <c r="R4" s="1041"/>
      <c r="S4" s="427">
        <f>IFERROR('Informations complémentaire'!D8-1,'Informations complémentaire'!D8&amp;" - 1")</f>
        <v>2011</v>
      </c>
      <c r="T4" s="55"/>
      <c r="U4" s="55"/>
    </row>
    <row r="5" spans="1:21" ht="31.5" customHeight="1" thickBot="1">
      <c r="A5" s="1"/>
      <c r="B5" s="1063"/>
      <c r="C5" s="1064"/>
      <c r="D5" s="1065"/>
      <c r="E5" s="1049"/>
      <c r="F5" s="1069"/>
      <c r="G5" s="1070"/>
      <c r="H5" s="1071"/>
      <c r="I5" s="1042" t="s">
        <v>1</v>
      </c>
      <c r="J5" s="1043"/>
      <c r="K5" s="1044" t="s">
        <v>836</v>
      </c>
      <c r="L5" s="1045"/>
      <c r="M5" s="426" t="s">
        <v>837</v>
      </c>
      <c r="N5" s="1042" t="s">
        <v>1</v>
      </c>
      <c r="O5" s="1043"/>
      <c r="P5" s="1044" t="s">
        <v>836</v>
      </c>
      <c r="Q5" s="1045"/>
      <c r="R5" s="426" t="s">
        <v>837</v>
      </c>
      <c r="S5" s="428" t="s">
        <v>837</v>
      </c>
      <c r="U5" s="55"/>
    </row>
    <row r="6" spans="1:21" ht="18.75" customHeight="1" thickBot="1">
      <c r="A6" s="1"/>
      <c r="B6" s="1046" t="s">
        <v>2</v>
      </c>
      <c r="C6" s="1059"/>
      <c r="D6" s="1051"/>
      <c r="E6" s="1025" t="s">
        <v>1223</v>
      </c>
      <c r="F6" s="1026"/>
      <c r="G6" s="1026"/>
      <c r="H6" s="1027"/>
      <c r="I6" s="150" t="s">
        <v>1716</v>
      </c>
      <c r="J6" s="155"/>
      <c r="K6" s="880"/>
      <c r="L6" s="465"/>
      <c r="M6" s="162">
        <f>J6</f>
        <v>0</v>
      </c>
      <c r="N6" s="150" t="s">
        <v>1716</v>
      </c>
      <c r="O6" s="155"/>
      <c r="P6" s="628"/>
      <c r="Q6" s="465"/>
      <c r="R6" s="162">
        <f>O6</f>
        <v>0</v>
      </c>
      <c r="S6" s="166"/>
      <c r="T6" s="906" t="s">
        <v>933</v>
      </c>
    </row>
    <row r="7" spans="1:21" ht="14.4">
      <c r="A7" s="1"/>
      <c r="B7" s="998"/>
      <c r="C7" s="999" t="s">
        <v>3</v>
      </c>
      <c r="D7" s="1054"/>
      <c r="E7" s="1010" t="s">
        <v>4</v>
      </c>
      <c r="F7" s="1011"/>
      <c r="G7" s="1011"/>
      <c r="H7" s="1012"/>
      <c r="I7" s="143" t="s">
        <v>1717</v>
      </c>
      <c r="J7" s="156">
        <v>10000</v>
      </c>
      <c r="K7" s="636" t="s">
        <v>1754</v>
      </c>
      <c r="L7" s="629">
        <v>10000</v>
      </c>
      <c r="M7" s="153">
        <f t="shared" ref="M7:M40" si="0">J7-L7</f>
        <v>0</v>
      </c>
      <c r="N7" s="143" t="s">
        <v>1717</v>
      </c>
      <c r="O7" s="156"/>
      <c r="P7" s="636" t="s">
        <v>1754</v>
      </c>
      <c r="Q7" s="629"/>
      <c r="R7" s="153">
        <f t="shared" ref="R7:R40" si="1">O7-Q7</f>
        <v>0</v>
      </c>
      <c r="S7" s="163"/>
      <c r="T7" s="906"/>
    </row>
    <row r="8" spans="1:21" ht="14.4">
      <c r="A8" s="6"/>
      <c r="B8" s="998"/>
      <c r="C8" s="1055"/>
      <c r="D8" s="1056"/>
      <c r="E8" s="1028" t="s">
        <v>5</v>
      </c>
      <c r="F8" s="1029"/>
      <c r="G8" s="1029"/>
      <c r="H8" s="1030"/>
      <c r="I8" s="145" t="s">
        <v>1718</v>
      </c>
      <c r="J8" s="158">
        <v>1230000</v>
      </c>
      <c r="K8" s="637" t="s">
        <v>1755</v>
      </c>
      <c r="L8" s="631">
        <v>650000</v>
      </c>
      <c r="M8" s="74">
        <f t="shared" si="0"/>
        <v>580000</v>
      </c>
      <c r="N8" s="145" t="s">
        <v>1718</v>
      </c>
      <c r="O8" s="158"/>
      <c r="P8" s="637" t="s">
        <v>1755</v>
      </c>
      <c r="Q8" s="631"/>
      <c r="R8" s="74">
        <f t="shared" si="1"/>
        <v>0</v>
      </c>
      <c r="S8" s="164"/>
      <c r="T8" s="906" t="s">
        <v>1755</v>
      </c>
    </row>
    <row r="9" spans="1:21" ht="14.4">
      <c r="A9" s="1"/>
      <c r="B9" s="998"/>
      <c r="C9" s="1055"/>
      <c r="D9" s="1056"/>
      <c r="E9" s="1031" t="s">
        <v>6</v>
      </c>
      <c r="F9" s="1032"/>
      <c r="G9" s="1032"/>
      <c r="H9" s="1033"/>
      <c r="I9" s="144" t="s">
        <v>1719</v>
      </c>
      <c r="J9" s="157"/>
      <c r="K9" s="636" t="s">
        <v>1756</v>
      </c>
      <c r="L9" s="630"/>
      <c r="M9" s="74">
        <f t="shared" si="0"/>
        <v>0</v>
      </c>
      <c r="N9" s="144" t="s">
        <v>1719</v>
      </c>
      <c r="O9" s="157"/>
      <c r="P9" s="636" t="s">
        <v>1756</v>
      </c>
      <c r="Q9" s="630"/>
      <c r="R9" s="74">
        <f t="shared" si="1"/>
        <v>0</v>
      </c>
      <c r="S9" s="164"/>
      <c r="T9" s="906" t="s">
        <v>1755</v>
      </c>
    </row>
    <row r="10" spans="1:21" ht="14.4">
      <c r="A10" s="1"/>
      <c r="B10" s="998"/>
      <c r="C10" s="1055"/>
      <c r="D10" s="1056"/>
      <c r="E10" s="1031" t="s">
        <v>7</v>
      </c>
      <c r="F10" s="1032"/>
      <c r="G10" s="1032"/>
      <c r="H10" s="1033"/>
      <c r="I10" s="144" t="s">
        <v>1720</v>
      </c>
      <c r="J10" s="157"/>
      <c r="K10" s="636" t="s">
        <v>1757</v>
      </c>
      <c r="L10" s="630"/>
      <c r="M10" s="74">
        <f t="shared" si="0"/>
        <v>0</v>
      </c>
      <c r="N10" s="144" t="s">
        <v>1720</v>
      </c>
      <c r="O10" s="157"/>
      <c r="P10" s="636" t="s">
        <v>1757</v>
      </c>
      <c r="Q10" s="630"/>
      <c r="R10" s="74">
        <f t="shared" si="1"/>
        <v>0</v>
      </c>
      <c r="S10" s="164"/>
      <c r="T10" s="906" t="s">
        <v>1755</v>
      </c>
    </row>
    <row r="11" spans="1:21" ht="14.4">
      <c r="A11" s="1"/>
      <c r="B11" s="998"/>
      <c r="C11" s="1055"/>
      <c r="D11" s="1056"/>
      <c r="E11" s="1031" t="s">
        <v>9</v>
      </c>
      <c r="F11" s="1032"/>
      <c r="G11" s="1032"/>
      <c r="H11" s="1033"/>
      <c r="I11" s="144" t="s">
        <v>1721</v>
      </c>
      <c r="J11" s="157"/>
      <c r="K11" s="636" t="s">
        <v>1758</v>
      </c>
      <c r="L11" s="630"/>
      <c r="M11" s="74">
        <f t="shared" si="0"/>
        <v>0</v>
      </c>
      <c r="N11" s="144" t="s">
        <v>1721</v>
      </c>
      <c r="O11" s="157"/>
      <c r="P11" s="636" t="s">
        <v>1758</v>
      </c>
      <c r="Q11" s="630"/>
      <c r="R11" s="74">
        <f t="shared" si="1"/>
        <v>0</v>
      </c>
      <c r="S11" s="164"/>
      <c r="T11" s="906" t="s">
        <v>1755</v>
      </c>
    </row>
    <row r="12" spans="1:21" ht="22.5" customHeight="1">
      <c r="A12" s="1"/>
      <c r="B12" s="998"/>
      <c r="C12" s="1055"/>
      <c r="D12" s="1056"/>
      <c r="E12" s="1072" t="s">
        <v>10</v>
      </c>
      <c r="F12" s="1073"/>
      <c r="G12" s="1073"/>
      <c r="H12" s="1074"/>
      <c r="I12" s="144"/>
      <c r="J12" s="157"/>
      <c r="K12" s="636"/>
      <c r="L12" s="630"/>
      <c r="M12" s="74">
        <f t="shared" si="0"/>
        <v>0</v>
      </c>
      <c r="N12" s="144"/>
      <c r="O12" s="157"/>
      <c r="P12" s="636"/>
      <c r="Q12" s="630"/>
      <c r="R12" s="74">
        <f t="shared" si="1"/>
        <v>0</v>
      </c>
      <c r="S12" s="164"/>
      <c r="T12" s="906" t="s">
        <v>1755</v>
      </c>
    </row>
    <row r="13" spans="1:21" ht="15" thickBot="1">
      <c r="A13" s="1"/>
      <c r="B13" s="998"/>
      <c r="C13" s="1057"/>
      <c r="D13" s="1058"/>
      <c r="E13" s="1035" t="s">
        <v>11</v>
      </c>
      <c r="F13" s="987"/>
      <c r="G13" s="987"/>
      <c r="H13" s="988"/>
      <c r="I13" s="146" t="s">
        <v>1722</v>
      </c>
      <c r="J13" s="159"/>
      <c r="K13" s="636" t="s">
        <v>1759</v>
      </c>
      <c r="L13" s="632"/>
      <c r="M13" s="152">
        <f t="shared" si="0"/>
        <v>0</v>
      </c>
      <c r="N13" s="146" t="s">
        <v>1722</v>
      </c>
      <c r="O13" s="159"/>
      <c r="P13" s="636" t="s">
        <v>1759</v>
      </c>
      <c r="Q13" s="632"/>
      <c r="R13" s="152">
        <f t="shared" si="1"/>
        <v>0</v>
      </c>
      <c r="S13" s="165"/>
      <c r="T13" s="906" t="s">
        <v>2112</v>
      </c>
    </row>
    <row r="14" spans="1:21" ht="14.4">
      <c r="A14" s="1"/>
      <c r="B14" s="998"/>
      <c r="C14" s="999" t="s">
        <v>12</v>
      </c>
      <c r="D14" s="993"/>
      <c r="E14" s="1036" t="s">
        <v>13</v>
      </c>
      <c r="F14" s="1037"/>
      <c r="G14" s="1037"/>
      <c r="H14" s="1038"/>
      <c r="I14" s="143" t="s">
        <v>1723</v>
      </c>
      <c r="J14" s="156">
        <v>825000</v>
      </c>
      <c r="K14" s="636" t="s">
        <v>1760</v>
      </c>
      <c r="L14" s="629"/>
      <c r="M14" s="153">
        <f t="shared" si="0"/>
        <v>825000</v>
      </c>
      <c r="N14" s="143" t="s">
        <v>1723</v>
      </c>
      <c r="O14" s="156"/>
      <c r="P14" s="636" t="s">
        <v>1760</v>
      </c>
      <c r="Q14" s="629"/>
      <c r="R14" s="153">
        <f t="shared" si="1"/>
        <v>0</v>
      </c>
      <c r="S14" s="163">
        <v>825000</v>
      </c>
      <c r="T14" s="906" t="s">
        <v>1755</v>
      </c>
    </row>
    <row r="15" spans="1:21" ht="14.4">
      <c r="A15" s="1"/>
      <c r="B15" s="998"/>
      <c r="C15" s="1000"/>
      <c r="D15" s="996"/>
      <c r="E15" s="1031" t="s">
        <v>14</v>
      </c>
      <c r="F15" s="1032"/>
      <c r="G15" s="1032"/>
      <c r="H15" s="1033"/>
      <c r="I15" s="144" t="s">
        <v>1724</v>
      </c>
      <c r="J15" s="157">
        <v>3870000</v>
      </c>
      <c r="K15" s="636" t="s">
        <v>1761</v>
      </c>
      <c r="L15" s="630">
        <v>1435000</v>
      </c>
      <c r="M15" s="74">
        <f t="shared" si="0"/>
        <v>2435000</v>
      </c>
      <c r="N15" s="144" t="s">
        <v>1724</v>
      </c>
      <c r="O15" s="157"/>
      <c r="P15" s="636" t="s">
        <v>1761</v>
      </c>
      <c r="Q15" s="630"/>
      <c r="R15" s="74">
        <f t="shared" si="1"/>
        <v>0</v>
      </c>
      <c r="S15" s="164">
        <v>2935000</v>
      </c>
      <c r="T15" s="906" t="s">
        <v>1755</v>
      </c>
    </row>
    <row r="16" spans="1:21" ht="14.4">
      <c r="A16" s="1"/>
      <c r="B16" s="998"/>
      <c r="C16" s="1000"/>
      <c r="D16" s="996"/>
      <c r="E16" s="1031" t="s">
        <v>15</v>
      </c>
      <c r="F16" s="1032"/>
      <c r="G16" s="1032"/>
      <c r="H16" s="1033"/>
      <c r="I16" s="144" t="s">
        <v>1725</v>
      </c>
      <c r="J16" s="157">
        <v>6550000</v>
      </c>
      <c r="K16" s="636" t="s">
        <v>1762</v>
      </c>
      <c r="L16" s="630">
        <v>1350000</v>
      </c>
      <c r="M16" s="74">
        <f t="shared" si="0"/>
        <v>5200000</v>
      </c>
      <c r="N16" s="144" t="s">
        <v>1725</v>
      </c>
      <c r="O16" s="157"/>
      <c r="P16" s="636" t="s">
        <v>1762</v>
      </c>
      <c r="Q16" s="630"/>
      <c r="R16" s="74">
        <f t="shared" si="1"/>
        <v>0</v>
      </c>
      <c r="S16" s="164">
        <v>5800000</v>
      </c>
      <c r="T16" s="906" t="s">
        <v>1755</v>
      </c>
    </row>
    <row r="17" spans="1:20" ht="14.4">
      <c r="A17" s="1"/>
      <c r="B17" s="998"/>
      <c r="C17" s="1000"/>
      <c r="D17" s="996"/>
      <c r="E17" s="1007" t="s">
        <v>16</v>
      </c>
      <c r="F17" s="1008"/>
      <c r="G17" s="1008"/>
      <c r="H17" s="1009"/>
      <c r="I17" s="144" t="s">
        <v>1726</v>
      </c>
      <c r="J17" s="157"/>
      <c r="K17" s="636" t="s">
        <v>1763</v>
      </c>
      <c r="L17" s="630"/>
      <c r="M17" s="74">
        <f t="shared" si="0"/>
        <v>0</v>
      </c>
      <c r="N17" s="144" t="s">
        <v>1726</v>
      </c>
      <c r="O17" s="157"/>
      <c r="P17" s="636" t="s">
        <v>1763</v>
      </c>
      <c r="Q17" s="630"/>
      <c r="R17" s="74">
        <f t="shared" si="1"/>
        <v>0</v>
      </c>
      <c r="S17" s="164"/>
      <c r="T17" s="906" t="s">
        <v>1755</v>
      </c>
    </row>
    <row r="18" spans="1:20" ht="14.4">
      <c r="A18" s="1"/>
      <c r="B18" s="998"/>
      <c r="C18" s="1000"/>
      <c r="D18" s="996"/>
      <c r="E18" s="1007" t="s">
        <v>17</v>
      </c>
      <c r="F18" s="1008"/>
      <c r="G18" s="1008"/>
      <c r="H18" s="1009"/>
      <c r="I18" s="144" t="s">
        <v>1727</v>
      </c>
      <c r="J18" s="157"/>
      <c r="K18" s="636" t="s">
        <v>1764</v>
      </c>
      <c r="L18" s="160"/>
      <c r="M18" s="74">
        <f t="shared" si="0"/>
        <v>0</v>
      </c>
      <c r="N18" s="144" t="s">
        <v>1727</v>
      </c>
      <c r="O18" s="157"/>
      <c r="P18" s="636" t="s">
        <v>1764</v>
      </c>
      <c r="Q18" s="630"/>
      <c r="R18" s="74">
        <f t="shared" si="1"/>
        <v>0</v>
      </c>
      <c r="S18" s="164"/>
      <c r="T18" s="906" t="s">
        <v>2112</v>
      </c>
    </row>
    <row r="19" spans="1:20" ht="15" thickBot="1">
      <c r="A19" s="1"/>
      <c r="B19" s="998"/>
      <c r="C19" s="1052"/>
      <c r="D19" s="1053"/>
      <c r="E19" s="1035" t="s">
        <v>18</v>
      </c>
      <c r="F19" s="987"/>
      <c r="G19" s="987"/>
      <c r="H19" s="988"/>
      <c r="I19" s="146" t="s">
        <v>1728</v>
      </c>
      <c r="J19" s="159"/>
      <c r="K19" s="636" t="s">
        <v>1765</v>
      </c>
      <c r="L19" s="632"/>
      <c r="M19" s="152">
        <f t="shared" si="0"/>
        <v>0</v>
      </c>
      <c r="N19" s="146" t="s">
        <v>1728</v>
      </c>
      <c r="O19" s="159"/>
      <c r="P19" s="636" t="s">
        <v>1765</v>
      </c>
      <c r="Q19" s="632"/>
      <c r="R19" s="152">
        <f t="shared" si="1"/>
        <v>0</v>
      </c>
      <c r="S19" s="165"/>
      <c r="T19" s="906" t="s">
        <v>2112</v>
      </c>
    </row>
    <row r="20" spans="1:20" ht="14.4">
      <c r="A20" s="1"/>
      <c r="B20" s="998"/>
      <c r="C20" s="999" t="s">
        <v>19</v>
      </c>
      <c r="D20" s="993"/>
      <c r="E20" s="1010" t="s">
        <v>20</v>
      </c>
      <c r="F20" s="1011"/>
      <c r="G20" s="1011"/>
      <c r="H20" s="1012"/>
      <c r="I20" s="143" t="s">
        <v>1729</v>
      </c>
      <c r="J20" s="156"/>
      <c r="K20" s="636" t="s">
        <v>1766</v>
      </c>
      <c r="L20" s="629"/>
      <c r="M20" s="153">
        <f t="shared" si="0"/>
        <v>0</v>
      </c>
      <c r="N20" s="143" t="s">
        <v>1729</v>
      </c>
      <c r="O20" s="156"/>
      <c r="P20" s="636" t="s">
        <v>1766</v>
      </c>
      <c r="Q20" s="629"/>
      <c r="R20" s="153">
        <f t="shared" si="1"/>
        <v>0</v>
      </c>
      <c r="S20" s="163"/>
      <c r="T20" s="906" t="s">
        <v>2112</v>
      </c>
    </row>
    <row r="21" spans="1:20" ht="14.4">
      <c r="A21" s="1"/>
      <c r="B21" s="998"/>
      <c r="C21" s="1000"/>
      <c r="D21" s="996"/>
      <c r="E21" s="1007" t="s">
        <v>21</v>
      </c>
      <c r="F21" s="1008"/>
      <c r="G21" s="1008"/>
      <c r="H21" s="1009"/>
      <c r="I21" s="144" t="s">
        <v>1730</v>
      </c>
      <c r="J21" s="157"/>
      <c r="K21" s="636" t="s">
        <v>1768</v>
      </c>
      <c r="L21" s="630"/>
      <c r="M21" s="74">
        <f t="shared" si="0"/>
        <v>0</v>
      </c>
      <c r="N21" s="144" t="s">
        <v>1730</v>
      </c>
      <c r="O21" s="157"/>
      <c r="P21" s="636" t="s">
        <v>1768</v>
      </c>
      <c r="Q21" s="630"/>
      <c r="R21" s="74">
        <f t="shared" si="1"/>
        <v>0</v>
      </c>
      <c r="S21" s="164"/>
      <c r="T21" s="906" t="s">
        <v>2112</v>
      </c>
    </row>
    <row r="22" spans="1:20" ht="14.4">
      <c r="A22" s="1"/>
      <c r="B22" s="998"/>
      <c r="C22" s="1000"/>
      <c r="D22" s="996"/>
      <c r="E22" s="1007" t="s">
        <v>22</v>
      </c>
      <c r="F22" s="1008"/>
      <c r="G22" s="1008"/>
      <c r="H22" s="1009"/>
      <c r="I22" s="144" t="s">
        <v>1731</v>
      </c>
      <c r="J22" s="157">
        <v>1200000</v>
      </c>
      <c r="K22" s="636" t="s">
        <v>1767</v>
      </c>
      <c r="L22" s="630"/>
      <c r="M22" s="74">
        <f t="shared" si="0"/>
        <v>1200000</v>
      </c>
      <c r="N22" s="144" t="s">
        <v>1731</v>
      </c>
      <c r="O22" s="157"/>
      <c r="P22" s="636" t="s">
        <v>1767</v>
      </c>
      <c r="Q22" s="630"/>
      <c r="R22" s="74">
        <f t="shared" si="1"/>
        <v>0</v>
      </c>
      <c r="S22" s="164">
        <v>300000</v>
      </c>
      <c r="T22" s="906" t="s">
        <v>2112</v>
      </c>
    </row>
    <row r="23" spans="1:20" ht="14.4">
      <c r="A23" s="1"/>
      <c r="B23" s="998"/>
      <c r="C23" s="1000"/>
      <c r="D23" s="996"/>
      <c r="E23" s="1007" t="s">
        <v>23</v>
      </c>
      <c r="F23" s="1008"/>
      <c r="G23" s="1008"/>
      <c r="H23" s="1009"/>
      <c r="I23" s="144" t="s">
        <v>1732</v>
      </c>
      <c r="J23" s="157"/>
      <c r="K23" s="636" t="s">
        <v>1769</v>
      </c>
      <c r="L23" s="630"/>
      <c r="M23" s="74">
        <f t="shared" si="0"/>
        <v>0</v>
      </c>
      <c r="N23" s="144" t="s">
        <v>1732</v>
      </c>
      <c r="O23" s="157"/>
      <c r="P23" s="636" t="s">
        <v>1769</v>
      </c>
      <c r="Q23" s="630"/>
      <c r="R23" s="74">
        <f t="shared" si="1"/>
        <v>0</v>
      </c>
      <c r="S23" s="164"/>
      <c r="T23" s="906" t="s">
        <v>2112</v>
      </c>
    </row>
    <row r="24" spans="1:20" ht="20.25" customHeight="1">
      <c r="A24" s="1"/>
      <c r="B24" s="998"/>
      <c r="C24" s="1000"/>
      <c r="D24" s="996"/>
      <c r="E24" s="1007" t="s">
        <v>24</v>
      </c>
      <c r="F24" s="1008"/>
      <c r="G24" s="1008"/>
      <c r="H24" s="1009"/>
      <c r="I24" s="144" t="s">
        <v>1733</v>
      </c>
      <c r="J24" s="157"/>
      <c r="K24" s="636" t="s">
        <v>1770</v>
      </c>
      <c r="L24" s="630"/>
      <c r="M24" s="74">
        <f t="shared" si="0"/>
        <v>0</v>
      </c>
      <c r="N24" s="144" t="s">
        <v>1733</v>
      </c>
      <c r="O24" s="157"/>
      <c r="P24" s="636" t="s">
        <v>1770</v>
      </c>
      <c r="Q24" s="630"/>
      <c r="R24" s="74">
        <f t="shared" si="1"/>
        <v>0</v>
      </c>
      <c r="S24" s="164"/>
      <c r="T24" s="906" t="s">
        <v>2112</v>
      </c>
    </row>
    <row r="25" spans="1:20" ht="15" thickBot="1">
      <c r="A25" s="1"/>
      <c r="B25" s="998"/>
      <c r="C25" s="1000"/>
      <c r="D25" s="996"/>
      <c r="E25" s="1007" t="s">
        <v>2039</v>
      </c>
      <c r="F25" s="1008"/>
      <c r="G25" s="1008"/>
      <c r="H25" s="1009"/>
      <c r="I25" s="144" t="s">
        <v>1734</v>
      </c>
      <c r="J25" s="157"/>
      <c r="K25" s="636" t="s">
        <v>1771</v>
      </c>
      <c r="L25" s="630"/>
      <c r="M25" s="74">
        <f t="shared" si="0"/>
        <v>0</v>
      </c>
      <c r="N25" s="144" t="s">
        <v>1734</v>
      </c>
      <c r="O25" s="157"/>
      <c r="P25" s="636" t="s">
        <v>1771</v>
      </c>
      <c r="Q25" s="630"/>
      <c r="R25" s="74">
        <f t="shared" si="1"/>
        <v>0</v>
      </c>
      <c r="S25" s="164"/>
      <c r="T25" s="906" t="s">
        <v>2112</v>
      </c>
    </row>
    <row r="26" spans="1:20" ht="15" thickBot="1">
      <c r="A26" s="1"/>
      <c r="B26" s="1047"/>
      <c r="C26" s="1050"/>
      <c r="D26" s="1051"/>
      <c r="E26" s="989" t="s">
        <v>1222</v>
      </c>
      <c r="F26" s="990"/>
      <c r="G26" s="990"/>
      <c r="H26" s="1034"/>
      <c r="I26" s="429" t="s">
        <v>1735</v>
      </c>
      <c r="J26" s="430">
        <f>J7+J8+J9+J10+J11+J12+J13+J14+J15+J16+J17+J18+J19+J20+J21+J22+J23+J24+J25</f>
        <v>13685000</v>
      </c>
      <c r="K26" s="638" t="s">
        <v>1772</v>
      </c>
      <c r="L26" s="431">
        <f>L7+L8+L9+L10+L11+L12+L13+L14+L15+L16+L17+L18+L19+L20+L21+L22+L23+L24+L25</f>
        <v>3445000</v>
      </c>
      <c r="M26" s="432">
        <f t="shared" si="0"/>
        <v>10240000</v>
      </c>
      <c r="N26" s="429" t="s">
        <v>1735</v>
      </c>
      <c r="O26" s="430">
        <f>O7+O8+O9+O10+O11+O12+O13+O14+O15+O16+O17+O18+O19+O20+O21+O22+O23+O24+O25</f>
        <v>0</v>
      </c>
      <c r="P26" s="638" t="s">
        <v>1772</v>
      </c>
      <c r="Q26" s="431">
        <f>Q7+Q8+Q9+Q10+Q11+Q12+Q13+Q14+Q15+Q16+Q17+Q18+Q19+Q20+Q21+Q22+Q23+Q24+Q25</f>
        <v>0</v>
      </c>
      <c r="R26" s="432">
        <f t="shared" si="1"/>
        <v>0</v>
      </c>
      <c r="S26" s="430">
        <f>S7+S8+S9+S10+S11+S12+S13+S14+S15+S16+S17+S18+S19+S20+S21+S22+S23+S24+S25</f>
        <v>9860000</v>
      </c>
    </row>
    <row r="27" spans="1:20" ht="14.4">
      <c r="A27" s="1"/>
      <c r="B27" s="997" t="s">
        <v>27</v>
      </c>
      <c r="C27" s="999" t="s">
        <v>28</v>
      </c>
      <c r="D27" s="993"/>
      <c r="E27" s="1010" t="s">
        <v>29</v>
      </c>
      <c r="F27" s="1011"/>
      <c r="G27" s="1011"/>
      <c r="H27" s="1012"/>
      <c r="I27" s="869" t="s">
        <v>1736</v>
      </c>
      <c r="J27" s="863">
        <v>300000</v>
      </c>
      <c r="K27" s="636" t="s">
        <v>1773</v>
      </c>
      <c r="L27" s="629"/>
      <c r="M27" s="153">
        <f t="shared" si="0"/>
        <v>300000</v>
      </c>
      <c r="N27" s="143" t="s">
        <v>1736</v>
      </c>
      <c r="O27" s="156"/>
      <c r="P27" s="636" t="s">
        <v>1773</v>
      </c>
      <c r="Q27" s="629"/>
      <c r="R27" s="153">
        <f t="shared" si="1"/>
        <v>0</v>
      </c>
      <c r="S27" s="163">
        <v>335000</v>
      </c>
      <c r="T27" s="906" t="s">
        <v>2113</v>
      </c>
    </row>
    <row r="28" spans="1:20" ht="14.4">
      <c r="A28" s="1"/>
      <c r="B28" s="998"/>
      <c r="C28" s="1000"/>
      <c r="D28" s="996"/>
      <c r="E28" s="1007" t="s">
        <v>30</v>
      </c>
      <c r="F28" s="1008"/>
      <c r="G28" s="1008"/>
      <c r="H28" s="1009"/>
      <c r="I28" s="870" t="s">
        <v>1737</v>
      </c>
      <c r="J28" s="864">
        <v>1820000</v>
      </c>
      <c r="K28" s="636" t="s">
        <v>1774</v>
      </c>
      <c r="L28" s="630"/>
      <c r="M28" s="74">
        <f t="shared" si="0"/>
        <v>1820000</v>
      </c>
      <c r="N28" s="144" t="s">
        <v>1737</v>
      </c>
      <c r="O28" s="157"/>
      <c r="P28" s="636" t="s">
        <v>1774</v>
      </c>
      <c r="Q28" s="630"/>
      <c r="R28" s="74">
        <f t="shared" si="1"/>
        <v>0</v>
      </c>
      <c r="S28" s="164">
        <v>1695000</v>
      </c>
      <c r="T28" s="906" t="s">
        <v>2113</v>
      </c>
    </row>
    <row r="29" spans="1:20" ht="14.4">
      <c r="A29" s="1"/>
      <c r="B29" s="998"/>
      <c r="C29" s="1000"/>
      <c r="D29" s="996"/>
      <c r="E29" s="1007" t="s">
        <v>31</v>
      </c>
      <c r="F29" s="1008"/>
      <c r="G29" s="1008"/>
      <c r="H29" s="1009"/>
      <c r="I29" s="870" t="s">
        <v>1738</v>
      </c>
      <c r="J29" s="864"/>
      <c r="K29" s="636" t="s">
        <v>1775</v>
      </c>
      <c r="L29" s="630"/>
      <c r="M29" s="74">
        <f t="shared" si="0"/>
        <v>0</v>
      </c>
      <c r="N29" s="144" t="s">
        <v>1738</v>
      </c>
      <c r="O29" s="157"/>
      <c r="P29" s="636" t="s">
        <v>1775</v>
      </c>
      <c r="Q29" s="630"/>
      <c r="R29" s="74">
        <f t="shared" si="1"/>
        <v>0</v>
      </c>
      <c r="S29" s="164"/>
      <c r="T29" s="906" t="s">
        <v>2113</v>
      </c>
    </row>
    <row r="30" spans="1:20" ht="14.4">
      <c r="A30" s="1"/>
      <c r="B30" s="998"/>
      <c r="C30" s="1000"/>
      <c r="D30" s="996"/>
      <c r="E30" s="1007" t="s">
        <v>32</v>
      </c>
      <c r="F30" s="1008"/>
      <c r="G30" s="1008"/>
      <c r="H30" s="1009"/>
      <c r="I30" s="870" t="s">
        <v>1739</v>
      </c>
      <c r="J30" s="864">
        <v>377000</v>
      </c>
      <c r="K30" s="636" t="s">
        <v>1776</v>
      </c>
      <c r="L30" s="630">
        <v>100000</v>
      </c>
      <c r="M30" s="74">
        <f t="shared" si="0"/>
        <v>277000</v>
      </c>
      <c r="N30" s="144" t="s">
        <v>1739</v>
      </c>
      <c r="O30" s="157"/>
      <c r="P30" s="636" t="s">
        <v>1776</v>
      </c>
      <c r="Q30" s="630"/>
      <c r="R30" s="74">
        <f t="shared" si="1"/>
        <v>0</v>
      </c>
      <c r="S30" s="164">
        <v>480000</v>
      </c>
      <c r="T30" s="906" t="s">
        <v>2113</v>
      </c>
    </row>
    <row r="31" spans="1:20" ht="15" thickBot="1">
      <c r="A31" s="1"/>
      <c r="B31" s="998"/>
      <c r="C31" s="1000"/>
      <c r="D31" s="1001"/>
      <c r="E31" s="1084" t="s">
        <v>33</v>
      </c>
      <c r="F31" s="1084"/>
      <c r="G31" s="1084"/>
      <c r="H31" s="1084"/>
      <c r="I31" s="870" t="s">
        <v>1740</v>
      </c>
      <c r="J31" s="864">
        <v>400000</v>
      </c>
      <c r="K31" s="636" t="s">
        <v>1777</v>
      </c>
      <c r="L31" s="630"/>
      <c r="M31" s="74">
        <f t="shared" si="0"/>
        <v>400000</v>
      </c>
      <c r="N31" s="144" t="s">
        <v>1740</v>
      </c>
      <c r="O31" s="157"/>
      <c r="P31" s="636" t="s">
        <v>1777</v>
      </c>
      <c r="Q31" s="630"/>
      <c r="R31" s="74">
        <f t="shared" si="1"/>
        <v>0</v>
      </c>
      <c r="S31" s="164">
        <v>33000</v>
      </c>
      <c r="T31" s="906" t="s">
        <v>2113</v>
      </c>
    </row>
    <row r="32" spans="1:20" ht="15" thickBot="1">
      <c r="A32" s="1"/>
      <c r="B32" s="998"/>
      <c r="C32" s="1013"/>
      <c r="D32" s="1014"/>
      <c r="E32" s="1025" t="s">
        <v>34</v>
      </c>
      <c r="F32" s="1026"/>
      <c r="G32" s="1026"/>
      <c r="H32" s="1085"/>
      <c r="I32" s="871" t="s">
        <v>1741</v>
      </c>
      <c r="J32" s="865"/>
      <c r="K32" s="636" t="s">
        <v>1778</v>
      </c>
      <c r="L32" s="633"/>
      <c r="M32" s="169">
        <f t="shared" si="0"/>
        <v>0</v>
      </c>
      <c r="N32" s="167" t="s">
        <v>1741</v>
      </c>
      <c r="O32" s="168"/>
      <c r="P32" s="636" t="s">
        <v>1778</v>
      </c>
      <c r="Q32" s="633"/>
      <c r="R32" s="169">
        <f t="shared" si="1"/>
        <v>0</v>
      </c>
      <c r="S32" s="170"/>
      <c r="T32" s="906" t="s">
        <v>2113</v>
      </c>
    </row>
    <row r="33" spans="1:20" ht="14.4">
      <c r="A33" s="1"/>
      <c r="B33" s="998"/>
      <c r="C33" s="982" t="s">
        <v>1947</v>
      </c>
      <c r="D33" s="983"/>
      <c r="E33" s="1011" t="s">
        <v>35</v>
      </c>
      <c r="F33" s="1011"/>
      <c r="G33" s="1011"/>
      <c r="H33" s="1012"/>
      <c r="I33" s="869" t="s">
        <v>1742</v>
      </c>
      <c r="J33" s="863">
        <v>3930000</v>
      </c>
      <c r="K33" s="636" t="s">
        <v>1779</v>
      </c>
      <c r="L33" s="629">
        <v>99000</v>
      </c>
      <c r="M33" s="77">
        <f t="shared" si="0"/>
        <v>3831000</v>
      </c>
      <c r="N33" s="143" t="s">
        <v>1742</v>
      </c>
      <c r="O33" s="156"/>
      <c r="P33" s="636" t="s">
        <v>1779</v>
      </c>
      <c r="Q33" s="629"/>
      <c r="R33" s="77">
        <f t="shared" si="1"/>
        <v>0</v>
      </c>
      <c r="S33" s="163">
        <v>2550000</v>
      </c>
      <c r="T33" s="906" t="s">
        <v>2113</v>
      </c>
    </row>
    <row r="34" spans="1:20" ht="16.5" customHeight="1">
      <c r="A34" s="1"/>
      <c r="B34" s="998"/>
      <c r="C34" s="984"/>
      <c r="D34" s="985"/>
      <c r="E34" s="1002" t="s">
        <v>1319</v>
      </c>
      <c r="F34" s="1002"/>
      <c r="G34" s="1002"/>
      <c r="H34" s="1003"/>
      <c r="I34" s="870" t="s">
        <v>1743</v>
      </c>
      <c r="J34" s="649"/>
      <c r="K34" s="636" t="s">
        <v>1780</v>
      </c>
      <c r="L34" s="649"/>
      <c r="M34" s="74">
        <f t="shared" si="0"/>
        <v>0</v>
      </c>
      <c r="N34" s="144" t="s">
        <v>1743</v>
      </c>
      <c r="O34" s="650"/>
      <c r="P34" s="636" t="s">
        <v>1780</v>
      </c>
      <c r="Q34" s="649"/>
      <c r="R34" s="74">
        <f t="shared" si="1"/>
        <v>0</v>
      </c>
      <c r="S34" s="648"/>
      <c r="T34" s="906" t="s">
        <v>2114</v>
      </c>
    </row>
    <row r="35" spans="1:20" ht="15" thickBot="1">
      <c r="A35" s="1"/>
      <c r="B35" s="998"/>
      <c r="C35" s="984"/>
      <c r="D35" s="985"/>
      <c r="E35" s="1035" t="s">
        <v>1973</v>
      </c>
      <c r="F35" s="987"/>
      <c r="G35" s="987"/>
      <c r="H35" s="988"/>
      <c r="I35" s="872" t="s">
        <v>1744</v>
      </c>
      <c r="J35" s="866"/>
      <c r="K35" s="862" t="s">
        <v>1781</v>
      </c>
      <c r="L35" s="632"/>
      <c r="M35" s="152">
        <f t="shared" si="0"/>
        <v>0</v>
      </c>
      <c r="N35" s="146" t="s">
        <v>1744</v>
      </c>
      <c r="O35" s="159"/>
      <c r="P35" s="862" t="s">
        <v>1781</v>
      </c>
      <c r="Q35" s="632"/>
      <c r="R35" s="152">
        <f t="shared" si="1"/>
        <v>0</v>
      </c>
      <c r="S35" s="165"/>
    </row>
    <row r="36" spans="1:20" ht="14.4">
      <c r="A36" s="1"/>
      <c r="B36" s="998"/>
      <c r="C36" s="999" t="s">
        <v>38</v>
      </c>
      <c r="D36" s="993"/>
      <c r="E36" s="1081" t="s">
        <v>39</v>
      </c>
      <c r="F36" s="1082"/>
      <c r="G36" s="1082"/>
      <c r="H36" s="1083"/>
      <c r="I36" s="873" t="s">
        <v>1745</v>
      </c>
      <c r="J36" s="867">
        <v>90000</v>
      </c>
      <c r="K36" s="859" t="s">
        <v>1782</v>
      </c>
      <c r="L36" s="860"/>
      <c r="M36" s="153">
        <f t="shared" si="0"/>
        <v>90000</v>
      </c>
      <c r="N36" s="188" t="s">
        <v>1745</v>
      </c>
      <c r="O36" s="858"/>
      <c r="P36" s="859" t="s">
        <v>1782</v>
      </c>
      <c r="Q36" s="860"/>
      <c r="R36" s="153">
        <f t="shared" si="1"/>
        <v>0</v>
      </c>
      <c r="S36" s="861"/>
    </row>
    <row r="37" spans="1:20" ht="17.25" customHeight="1">
      <c r="A37" s="1"/>
      <c r="B37" s="998"/>
      <c r="C37" s="1000"/>
      <c r="D37" s="996"/>
      <c r="E37" s="1004" t="s">
        <v>40</v>
      </c>
      <c r="F37" s="1005"/>
      <c r="G37" s="1005"/>
      <c r="H37" s="1006"/>
      <c r="I37" s="870"/>
      <c r="J37" s="864"/>
      <c r="K37" s="636"/>
      <c r="L37" s="630"/>
      <c r="M37" s="74">
        <f t="shared" si="0"/>
        <v>0</v>
      </c>
      <c r="N37" s="144"/>
      <c r="O37" s="157"/>
      <c r="P37" s="636"/>
      <c r="Q37" s="630"/>
      <c r="R37" s="74">
        <f t="shared" si="1"/>
        <v>0</v>
      </c>
      <c r="S37" s="164"/>
    </row>
    <row r="38" spans="1:20" ht="21.75" customHeight="1" thickBot="1">
      <c r="A38" s="1"/>
      <c r="B38" s="998"/>
      <c r="C38" s="1000"/>
      <c r="D38" s="996"/>
      <c r="E38" s="1007" t="s">
        <v>41</v>
      </c>
      <c r="F38" s="1008"/>
      <c r="G38" s="1008"/>
      <c r="H38" s="1009"/>
      <c r="I38" s="870" t="s">
        <v>1746</v>
      </c>
      <c r="J38" s="864">
        <v>990000</v>
      </c>
      <c r="K38" s="636" t="s">
        <v>1783</v>
      </c>
      <c r="L38" s="630"/>
      <c r="M38" s="152">
        <f t="shared" si="0"/>
        <v>990000</v>
      </c>
      <c r="N38" s="144" t="s">
        <v>1746</v>
      </c>
      <c r="O38" s="157"/>
      <c r="P38" s="636" t="s">
        <v>1783</v>
      </c>
      <c r="Q38" s="630"/>
      <c r="R38" s="152">
        <f t="shared" si="1"/>
        <v>0</v>
      </c>
      <c r="S38" s="164">
        <v>85800</v>
      </c>
    </row>
    <row r="39" spans="1:20" ht="14.4">
      <c r="A39" s="1"/>
      <c r="B39" s="991" t="s">
        <v>42</v>
      </c>
      <c r="C39" s="992"/>
      <c r="D39" s="993"/>
      <c r="E39" s="1075" t="s">
        <v>846</v>
      </c>
      <c r="F39" s="1076"/>
      <c r="G39" s="1076"/>
      <c r="H39" s="1077"/>
      <c r="I39" s="869" t="s">
        <v>1747</v>
      </c>
      <c r="J39" s="863">
        <v>44000</v>
      </c>
      <c r="K39" s="636" t="s">
        <v>1784</v>
      </c>
      <c r="L39" s="629"/>
      <c r="M39" s="74">
        <f t="shared" si="0"/>
        <v>44000</v>
      </c>
      <c r="N39" s="143" t="s">
        <v>1747</v>
      </c>
      <c r="O39" s="156">
        <f>'2051 Passif'!M13</f>
        <v>1455200</v>
      </c>
      <c r="P39" s="636" t="s">
        <v>1784</v>
      </c>
      <c r="Q39" s="629"/>
      <c r="R39" s="74">
        <f t="shared" si="1"/>
        <v>1455200</v>
      </c>
      <c r="S39" s="163"/>
      <c r="T39" s="906" t="s">
        <v>2113</v>
      </c>
    </row>
    <row r="40" spans="1:20" ht="14.4">
      <c r="A40" s="1"/>
      <c r="B40" s="994"/>
      <c r="C40" s="995"/>
      <c r="D40" s="996"/>
      <c r="E40" s="1078" t="s">
        <v>1224</v>
      </c>
      <c r="F40" s="1079"/>
      <c r="G40" s="1079"/>
      <c r="H40" s="1080"/>
      <c r="I40" s="874" t="s">
        <v>1748</v>
      </c>
      <c r="J40" s="438">
        <f>J27+J28+J29+J30+J31+J32+J33+J34+J35+J36+J37+J38+J39</f>
        <v>7951000</v>
      </c>
      <c r="K40" s="638" t="s">
        <v>1785</v>
      </c>
      <c r="L40" s="438">
        <f>L27+L28+L29+L30+L31+L32+L33+L34+L35+L36+L37+L38+L39</f>
        <v>199000</v>
      </c>
      <c r="M40" s="439">
        <f t="shared" si="0"/>
        <v>7752000</v>
      </c>
      <c r="N40" s="436" t="s">
        <v>1748</v>
      </c>
      <c r="O40" s="437">
        <f>O27+O28+O29+O30+O31+O32+O33+O34+O35+O36+O37+O38+O39</f>
        <v>1455200</v>
      </c>
      <c r="P40" s="638" t="s">
        <v>1785</v>
      </c>
      <c r="Q40" s="438">
        <f>Q27+Q28+Q29+Q30+Q31+Q32+Q33+Q34+Q35+Q36+Q37+Q38+Q39</f>
        <v>0</v>
      </c>
      <c r="R40" s="439">
        <f t="shared" si="1"/>
        <v>1455200</v>
      </c>
      <c r="S40" s="438">
        <f>S27+S28+S29+S30+S31+S32+S33+S34+S35+S36+S37+S38+S39</f>
        <v>5178800</v>
      </c>
    </row>
    <row r="41" spans="1:20" ht="14.4">
      <c r="A41" s="1"/>
      <c r="B41" s="994"/>
      <c r="C41" s="995"/>
      <c r="D41" s="996"/>
      <c r="E41" s="1007" t="s">
        <v>1750</v>
      </c>
      <c r="F41" s="1008"/>
      <c r="G41" s="1008"/>
      <c r="H41" s="1009"/>
      <c r="I41" s="875" t="s">
        <v>1749</v>
      </c>
      <c r="J41" s="864"/>
      <c r="K41" s="639"/>
      <c r="L41" s="634"/>
      <c r="M41" s="74">
        <f>J41</f>
        <v>0</v>
      </c>
      <c r="N41" s="147" t="s">
        <v>1749</v>
      </c>
      <c r="O41" s="157"/>
      <c r="P41" s="639"/>
      <c r="Q41" s="634"/>
      <c r="R41" s="74">
        <f>O41</f>
        <v>0</v>
      </c>
      <c r="S41" s="164"/>
    </row>
    <row r="42" spans="1:20" ht="14.4">
      <c r="A42" s="1"/>
      <c r="B42" s="994"/>
      <c r="C42" s="995"/>
      <c r="D42" s="996"/>
      <c r="E42" s="1007" t="s">
        <v>1226</v>
      </c>
      <c r="F42" s="1008"/>
      <c r="G42" s="1008"/>
      <c r="H42" s="1009"/>
      <c r="I42" s="875" t="s">
        <v>1752</v>
      </c>
      <c r="J42" s="864"/>
      <c r="K42" s="639"/>
      <c r="L42" s="634"/>
      <c r="M42" s="74">
        <f>J42</f>
        <v>0</v>
      </c>
      <c r="N42" s="147" t="s">
        <v>1752</v>
      </c>
      <c r="O42" s="157"/>
      <c r="P42" s="639"/>
      <c r="Q42" s="634"/>
      <c r="R42" s="74">
        <f>O42</f>
        <v>0</v>
      </c>
      <c r="S42" s="164"/>
    </row>
    <row r="43" spans="1:20" s="55" customFormat="1" ht="15" thickBot="1">
      <c r="A43" s="1"/>
      <c r="B43" s="994"/>
      <c r="C43" s="995"/>
      <c r="D43" s="996"/>
      <c r="E43" s="1007" t="s">
        <v>1751</v>
      </c>
      <c r="F43" s="1008"/>
      <c r="G43" s="1008"/>
      <c r="H43" s="1009"/>
      <c r="I43" s="875" t="s">
        <v>1753</v>
      </c>
      <c r="J43" s="864">
        <v>150000</v>
      </c>
      <c r="K43" s="639"/>
      <c r="L43" s="634"/>
      <c r="M43" s="152">
        <f>J43</f>
        <v>150000</v>
      </c>
      <c r="N43" s="147" t="s">
        <v>1753</v>
      </c>
      <c r="O43" s="157"/>
      <c r="P43" s="639"/>
      <c r="Q43" s="634"/>
      <c r="R43" s="152">
        <f>O43</f>
        <v>0</v>
      </c>
      <c r="S43" s="164"/>
    </row>
    <row r="44" spans="1:20" ht="16.5" customHeight="1" thickBot="1">
      <c r="A44" s="1"/>
      <c r="B44" s="989" t="s">
        <v>1225</v>
      </c>
      <c r="C44" s="990"/>
      <c r="D44" s="990"/>
      <c r="E44" s="990"/>
      <c r="F44" s="990"/>
      <c r="G44" s="990"/>
      <c r="H44" s="990"/>
      <c r="I44" s="876"/>
      <c r="J44" s="868">
        <f>J6+J26+J40+J41+J42+J43</f>
        <v>21786000</v>
      </c>
      <c r="K44" s="638" t="s">
        <v>973</v>
      </c>
      <c r="L44" s="635">
        <f>L26+L40</f>
        <v>3644000</v>
      </c>
      <c r="M44" s="435">
        <f>J44-L44</f>
        <v>18142000</v>
      </c>
      <c r="N44" s="433"/>
      <c r="O44" s="434">
        <f>O6+O26+O40+O41+O42+O43</f>
        <v>1455200</v>
      </c>
      <c r="P44" s="638" t="s">
        <v>973</v>
      </c>
      <c r="Q44" s="635">
        <f>Q26+Q40</f>
        <v>0</v>
      </c>
      <c r="R44" s="435">
        <f>O44-Q44</f>
        <v>1455200</v>
      </c>
      <c r="S44" s="868">
        <f>S6+S26+S40+S41+S42+S43</f>
        <v>15038800</v>
      </c>
    </row>
    <row r="45" spans="1:20" ht="15.75" customHeight="1">
      <c r="M45" s="154"/>
      <c r="R45" s="154"/>
    </row>
    <row r="46" spans="1:20" ht="15.75" customHeight="1" thickBot="1"/>
    <row r="47" spans="1:20" s="55" customFormat="1" ht="25.5" customHeight="1" thickBot="1">
      <c r="A47" s="1"/>
      <c r="B47" s="1015" t="s">
        <v>1945</v>
      </c>
      <c r="C47" s="1016"/>
      <c r="D47" s="1016"/>
      <c r="E47" s="1016"/>
      <c r="F47" s="1016"/>
      <c r="G47" s="1016"/>
      <c r="H47" s="1016"/>
      <c r="I47" s="1016"/>
      <c r="J47" s="1016"/>
      <c r="K47" s="1016"/>
      <c r="L47" s="1016"/>
      <c r="M47" s="1016"/>
      <c r="N47" s="1017"/>
      <c r="O47" s="1017"/>
      <c r="P47" s="1017"/>
      <c r="Q47" s="1017"/>
      <c r="R47" s="1017"/>
      <c r="S47" s="1018"/>
    </row>
    <row r="48" spans="1:20" s="55" customFormat="1" ht="14.4">
      <c r="A48" s="1"/>
      <c r="B48" s="1019" t="s">
        <v>1948</v>
      </c>
      <c r="C48" s="1020"/>
      <c r="D48" s="1086" t="s">
        <v>840</v>
      </c>
      <c r="E48" s="1093" t="s">
        <v>35</v>
      </c>
      <c r="F48" s="1011"/>
      <c r="G48" s="1011"/>
      <c r="H48" s="1012"/>
      <c r="I48" s="143" t="s">
        <v>1742</v>
      </c>
      <c r="J48" s="496">
        <f>'2050 Actif'!J33</f>
        <v>3930000</v>
      </c>
      <c r="K48" s="636" t="s">
        <v>1779</v>
      </c>
      <c r="L48" s="496">
        <f>'2050 Actif'!L33</f>
        <v>99000</v>
      </c>
      <c r="M48" s="77">
        <f>J48-L48</f>
        <v>3831000</v>
      </c>
      <c r="N48" s="135"/>
      <c r="O48" s="496">
        <f>'2050 Actif'!O33</f>
        <v>0</v>
      </c>
      <c r="P48" s="497"/>
      <c r="Q48" s="496">
        <f>'2050 Actif'!Q33</f>
        <v>0</v>
      </c>
      <c r="R48" s="77">
        <f>O48-Q48</f>
        <v>0</v>
      </c>
      <c r="S48" s="498">
        <f>'2050 Actif'!S33</f>
        <v>2550000</v>
      </c>
    </row>
    <row r="49" spans="1:19" s="55" customFormat="1" ht="17.25" customHeight="1" thickBot="1">
      <c r="A49" s="1"/>
      <c r="B49" s="1021"/>
      <c r="C49" s="1022"/>
      <c r="D49" s="1087"/>
      <c r="E49" s="1088" t="s">
        <v>25</v>
      </c>
      <c r="F49" s="1002"/>
      <c r="G49" s="1002"/>
      <c r="H49" s="1003"/>
      <c r="I49" s="88"/>
      <c r="J49" s="506"/>
      <c r="K49" s="495"/>
      <c r="L49" s="506"/>
      <c r="M49" s="74">
        <f>J49-L49</f>
        <v>0</v>
      </c>
      <c r="N49" s="88"/>
      <c r="O49" s="506"/>
      <c r="P49" s="495"/>
      <c r="Q49" s="506"/>
      <c r="R49" s="74">
        <f>O49-Q49</f>
        <v>0</v>
      </c>
      <c r="S49" s="508"/>
    </row>
    <row r="50" spans="1:19" s="55" customFormat="1" ht="15.75" customHeight="1">
      <c r="A50" s="1"/>
      <c r="B50" s="1021"/>
      <c r="C50" s="1022"/>
      <c r="D50" s="1086" t="s">
        <v>841</v>
      </c>
      <c r="E50" s="1090" t="s">
        <v>26</v>
      </c>
      <c r="F50" s="1091"/>
      <c r="G50" s="1091"/>
      <c r="H50" s="1092"/>
      <c r="I50" s="135"/>
      <c r="J50" s="505"/>
      <c r="K50" s="497"/>
      <c r="L50" s="505"/>
      <c r="M50" s="77">
        <f>J50-L50</f>
        <v>0</v>
      </c>
      <c r="N50" s="135"/>
      <c r="O50" s="505"/>
      <c r="P50" s="497"/>
      <c r="Q50" s="505"/>
      <c r="R50" s="77">
        <f>O50-Q50</f>
        <v>0</v>
      </c>
      <c r="S50" s="507"/>
    </row>
    <row r="51" spans="1:19" s="55" customFormat="1" ht="15" thickBot="1">
      <c r="A51" s="1"/>
      <c r="B51" s="1023"/>
      <c r="C51" s="1024"/>
      <c r="D51" s="1089"/>
      <c r="E51" s="986" t="s">
        <v>37</v>
      </c>
      <c r="F51" s="987"/>
      <c r="G51" s="987"/>
      <c r="H51" s="988"/>
      <c r="I51" s="146" t="s">
        <v>1744</v>
      </c>
      <c r="J51" s="499">
        <f>'2050 Actif'!J35</f>
        <v>0</v>
      </c>
      <c r="K51" s="636" t="s">
        <v>1781</v>
      </c>
      <c r="L51" s="499">
        <f>'2050 Actif'!L35</f>
        <v>0</v>
      </c>
      <c r="M51" s="152">
        <f>J51-L51</f>
        <v>0</v>
      </c>
      <c r="N51" s="136"/>
      <c r="O51" s="499">
        <f>'2050 Actif'!O35</f>
        <v>0</v>
      </c>
      <c r="P51" s="500"/>
      <c r="Q51" s="499">
        <f>'2050 Actif'!Q35</f>
        <v>0</v>
      </c>
      <c r="R51" s="152">
        <f>O51-Q51</f>
        <v>0</v>
      </c>
      <c r="S51" s="501">
        <f>'2050 Actif'!S35</f>
        <v>0</v>
      </c>
    </row>
  </sheetData>
  <mergeCells count="69">
    <mergeCell ref="D48:D49"/>
    <mergeCell ref="E49:H49"/>
    <mergeCell ref="D50:D51"/>
    <mergeCell ref="E50:H50"/>
    <mergeCell ref="E48:H48"/>
    <mergeCell ref="K5:L5"/>
    <mergeCell ref="E12:H12"/>
    <mergeCell ref="E43:H43"/>
    <mergeCell ref="E18:H18"/>
    <mergeCell ref="E19:H19"/>
    <mergeCell ref="E39:H39"/>
    <mergeCell ref="E40:H40"/>
    <mergeCell ref="E41:H41"/>
    <mergeCell ref="E35:H35"/>
    <mergeCell ref="E36:H36"/>
    <mergeCell ref="E29:H29"/>
    <mergeCell ref="E30:H30"/>
    <mergeCell ref="E31:H31"/>
    <mergeCell ref="E32:H32"/>
    <mergeCell ref="E21:H21"/>
    <mergeCell ref="E22:H22"/>
    <mergeCell ref="N4:R4"/>
    <mergeCell ref="N5:O5"/>
    <mergeCell ref="P5:Q5"/>
    <mergeCell ref="E24:H24"/>
    <mergeCell ref="B3:S3"/>
    <mergeCell ref="I4:M4"/>
    <mergeCell ref="C20:D25"/>
    <mergeCell ref="B6:B26"/>
    <mergeCell ref="E4:E5"/>
    <mergeCell ref="C26:D26"/>
    <mergeCell ref="C14:D19"/>
    <mergeCell ref="C7:D13"/>
    <mergeCell ref="C6:D6"/>
    <mergeCell ref="B4:D5"/>
    <mergeCell ref="F4:H5"/>
    <mergeCell ref="I5:J5"/>
    <mergeCell ref="E6:H6"/>
    <mergeCell ref="E28:H28"/>
    <mergeCell ref="E7:H7"/>
    <mergeCell ref="E8:H8"/>
    <mergeCell ref="E9:H9"/>
    <mergeCell ref="E10:H10"/>
    <mergeCell ref="E11:H11"/>
    <mergeCell ref="E16:H16"/>
    <mergeCell ref="E15:H15"/>
    <mergeCell ref="E26:H26"/>
    <mergeCell ref="E13:H13"/>
    <mergeCell ref="E14:H14"/>
    <mergeCell ref="E17:H17"/>
    <mergeCell ref="E25:H25"/>
    <mergeCell ref="E20:H20"/>
    <mergeCell ref="E23:H23"/>
    <mergeCell ref="C33:D35"/>
    <mergeCell ref="E51:H51"/>
    <mergeCell ref="B44:H44"/>
    <mergeCell ref="B39:D43"/>
    <mergeCell ref="B27:B38"/>
    <mergeCell ref="C36:D38"/>
    <mergeCell ref="C27:D31"/>
    <mergeCell ref="E34:H34"/>
    <mergeCell ref="E37:H37"/>
    <mergeCell ref="E38:H38"/>
    <mergeCell ref="E27:H27"/>
    <mergeCell ref="E42:H42"/>
    <mergeCell ref="C32:D32"/>
    <mergeCell ref="E33:H33"/>
    <mergeCell ref="B47:S47"/>
    <mergeCell ref="B48:C51"/>
  </mergeCells>
  <hyperlinks>
    <hyperlink ref="A1" location="Sommaire!A1" display="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Feuil4">
    <tabColor theme="3" tint="0.59999389629810485"/>
    <outlinePr summaryBelow="0" summaryRight="0"/>
  </sheetPr>
  <dimension ref="A1:O56"/>
  <sheetViews>
    <sheetView showGridLines="0" zoomScale="80" zoomScaleNormal="80" workbookViewId="0">
      <pane xSplit="3" ySplit="4" topLeftCell="D5" activePane="bottomRight" state="frozen"/>
      <selection activeCell="C99" sqref="C99:C137"/>
      <selection pane="topRight" activeCell="C99" sqref="C99:C137"/>
      <selection pane="bottomLeft" activeCell="C99" sqref="C99:C137"/>
      <selection pane="bottomRight" activeCell="N23" sqref="N23"/>
    </sheetView>
  </sheetViews>
  <sheetFormatPr baseColWidth="10" defaultColWidth="17.33203125" defaultRowHeight="15.75" customHeight="1" outlineLevelCol="1"/>
  <cols>
    <col min="1" max="1" width="2.6640625" style="551" customWidth="1"/>
    <col min="2" max="2" width="7.5546875" style="551" customWidth="1"/>
    <col min="3" max="3" width="12.88671875" style="551" customWidth="1"/>
    <col min="4" max="4" width="5" style="551" customWidth="1" outlineLevel="1"/>
    <col min="5" max="5" width="13.88671875" style="551" customWidth="1"/>
    <col min="6" max="6" width="7.33203125" style="551" customWidth="1"/>
    <col min="7" max="7" width="9.5546875" style="551" customWidth="1"/>
    <col min="8" max="8" width="13.88671875" style="551" customWidth="1"/>
    <col min="9" max="9" width="32.33203125" style="551" customWidth="1"/>
    <col min="10" max="10" width="14" style="551" customWidth="1"/>
    <col min="11" max="11" width="3.5546875" style="551" customWidth="1"/>
    <col min="12" max="13" width="13.6640625" style="551" customWidth="1"/>
    <col min="14" max="16384" width="17.33203125" style="551"/>
  </cols>
  <sheetData>
    <row r="1" spans="1:13" ht="15.75" customHeight="1">
      <c r="A1" s="981" t="s">
        <v>2015</v>
      </c>
    </row>
    <row r="2" spans="1:13" ht="15" customHeight="1" thickBot="1">
      <c r="A2" s="4"/>
      <c r="B2" s="9"/>
      <c r="C2" s="9"/>
      <c r="D2" s="9"/>
      <c r="E2" s="4"/>
      <c r="F2" s="4"/>
      <c r="G2" s="4"/>
      <c r="H2" s="4"/>
      <c r="I2" s="4"/>
      <c r="J2" s="4"/>
      <c r="K2" s="4"/>
    </row>
    <row r="3" spans="1:13" ht="28.5" customHeight="1" thickBot="1">
      <c r="A3" s="4"/>
      <c r="B3" s="1116" t="s">
        <v>2102</v>
      </c>
      <c r="C3" s="1117"/>
      <c r="D3" s="1117"/>
      <c r="E3" s="1117"/>
      <c r="F3" s="1117"/>
      <c r="G3" s="1117"/>
      <c r="H3" s="1117"/>
      <c r="I3" s="1117"/>
      <c r="J3" s="1117"/>
      <c r="K3" s="1117"/>
      <c r="L3" s="1117"/>
      <c r="M3" s="1118"/>
    </row>
    <row r="4" spans="1:13" ht="30.75" customHeight="1" thickBot="1">
      <c r="A4" s="4"/>
      <c r="B4" s="1013"/>
      <c r="C4" s="1014"/>
      <c r="D4" s="513"/>
      <c r="E4" s="1123" t="s">
        <v>1321</v>
      </c>
      <c r="F4" s="1124"/>
      <c r="G4" s="1124"/>
      <c r="H4" s="1124"/>
      <c r="I4" s="1124"/>
      <c r="J4" s="1125"/>
      <c r="K4" s="1119">
        <f>'Informations complémentaire'!D8</f>
        <v>2012</v>
      </c>
      <c r="L4" s="1120"/>
      <c r="M4" s="440">
        <f>IFERROR('Informations complémentaire'!D8-1,'Informations complémentaire'!D8&amp;" - 1")</f>
        <v>2011</v>
      </c>
    </row>
    <row r="5" spans="1:13" ht="13.2">
      <c r="A5" s="4"/>
      <c r="B5" s="1095" t="s">
        <v>1979</v>
      </c>
      <c r="C5" s="1096"/>
      <c r="D5" s="1126" t="s">
        <v>1322</v>
      </c>
      <c r="E5" s="878" t="s">
        <v>1974</v>
      </c>
      <c r="F5" s="877"/>
      <c r="G5" s="877"/>
      <c r="H5" s="878" t="s">
        <v>1975</v>
      </c>
      <c r="I5" s="885"/>
      <c r="J5" s="881" t="s">
        <v>1976</v>
      </c>
      <c r="K5" s="43" t="s">
        <v>1865</v>
      </c>
      <c r="L5" s="651">
        <v>4000000</v>
      </c>
      <c r="M5" s="652">
        <v>2000000</v>
      </c>
    </row>
    <row r="6" spans="1:13" ht="13.2">
      <c r="A6" s="4"/>
      <c r="B6" s="1097"/>
      <c r="C6" s="1098"/>
      <c r="D6" s="1127"/>
      <c r="E6" s="1128" t="s">
        <v>44</v>
      </c>
      <c r="F6" s="1129"/>
      <c r="G6" s="1129"/>
      <c r="H6" s="1129"/>
      <c r="I6" s="1129"/>
      <c r="J6" s="1129"/>
      <c r="K6" s="31" t="s">
        <v>1866</v>
      </c>
      <c r="L6" s="160"/>
      <c r="M6" s="457"/>
    </row>
    <row r="7" spans="1:13" ht="13.2">
      <c r="A7" s="4"/>
      <c r="B7" s="1097"/>
      <c r="C7" s="1098"/>
      <c r="D7" s="1127"/>
      <c r="E7" s="1128" t="s">
        <v>45</v>
      </c>
      <c r="F7" s="1129"/>
      <c r="G7" s="1129"/>
      <c r="H7" s="1129"/>
      <c r="I7" s="1129"/>
      <c r="J7" s="1129"/>
      <c r="K7" s="31" t="s">
        <v>1867</v>
      </c>
      <c r="L7" s="160"/>
      <c r="M7" s="457"/>
    </row>
    <row r="8" spans="1:13" ht="13.2">
      <c r="A8" s="4"/>
      <c r="B8" s="1097"/>
      <c r="C8" s="1098"/>
      <c r="D8" s="1127"/>
      <c r="E8" s="1006" t="s">
        <v>46</v>
      </c>
      <c r="F8" s="1094"/>
      <c r="G8" s="1094"/>
      <c r="H8" s="1094"/>
      <c r="I8" s="1094"/>
      <c r="J8" s="1094"/>
      <c r="K8" s="31" t="s">
        <v>1868</v>
      </c>
      <c r="L8" s="160">
        <v>70000</v>
      </c>
      <c r="M8" s="457">
        <v>70000</v>
      </c>
    </row>
    <row r="9" spans="1:13" ht="17.25" customHeight="1">
      <c r="A9" s="4"/>
      <c r="B9" s="1097"/>
      <c r="C9" s="1098"/>
      <c r="D9" s="1127"/>
      <c r="E9" s="1006" t="s">
        <v>47</v>
      </c>
      <c r="F9" s="1094"/>
      <c r="G9" s="1094"/>
      <c r="H9" s="1094"/>
      <c r="I9" s="1094"/>
      <c r="J9" s="1094"/>
      <c r="K9" s="31" t="s">
        <v>1869</v>
      </c>
      <c r="L9" s="160"/>
      <c r="M9" s="457"/>
    </row>
    <row r="10" spans="1:13" ht="13.2">
      <c r="A10" s="4"/>
      <c r="B10" s="1097"/>
      <c r="C10" s="1098"/>
      <c r="D10" s="1127"/>
      <c r="E10" s="1006" t="s">
        <v>48</v>
      </c>
      <c r="F10" s="1094"/>
      <c r="G10" s="1094"/>
      <c r="H10" s="1094"/>
      <c r="I10" s="1094"/>
      <c r="J10" s="1094"/>
      <c r="K10" s="31" t="s">
        <v>1870</v>
      </c>
      <c r="L10" s="160"/>
      <c r="M10" s="457"/>
    </row>
    <row r="11" spans="1:13" ht="18.75" customHeight="1">
      <c r="A11" s="4"/>
      <c r="B11" s="1097"/>
      <c r="C11" s="1098"/>
      <c r="D11" s="1127"/>
      <c r="E11" s="1006" t="s">
        <v>49</v>
      </c>
      <c r="F11" s="1094"/>
      <c r="G11" s="1094"/>
      <c r="H11" s="1094"/>
      <c r="I11" s="1094"/>
      <c r="J11" s="1094"/>
      <c r="K11" s="31" t="s">
        <v>1871</v>
      </c>
      <c r="L11" s="160">
        <v>2420000</v>
      </c>
      <c r="M11" s="457">
        <v>3220000</v>
      </c>
    </row>
    <row r="12" spans="1:13" ht="13.2">
      <c r="A12" s="4"/>
      <c r="B12" s="1097"/>
      <c r="C12" s="1098"/>
      <c r="D12" s="1127"/>
      <c r="E12" s="1006" t="s">
        <v>50</v>
      </c>
      <c r="F12" s="1094"/>
      <c r="G12" s="1094"/>
      <c r="H12" s="1094"/>
      <c r="I12" s="1094"/>
      <c r="J12" s="1094"/>
      <c r="K12" s="31" t="s">
        <v>1872</v>
      </c>
      <c r="L12" s="160">
        <v>115200</v>
      </c>
      <c r="M12" s="457">
        <v>-1340000</v>
      </c>
    </row>
    <row r="13" spans="1:13" ht="13.8" thickBot="1">
      <c r="A13" s="4"/>
      <c r="B13" s="1097"/>
      <c r="C13" s="1098"/>
      <c r="D13" s="1127"/>
      <c r="E13" s="1121" t="s">
        <v>51</v>
      </c>
      <c r="F13" s="1122"/>
      <c r="G13" s="1122"/>
      <c r="H13" s="1122"/>
      <c r="I13" s="1122"/>
      <c r="J13" s="1122"/>
      <c r="K13" s="31" t="s">
        <v>1873</v>
      </c>
      <c r="L13" s="97">
        <f>'2052 et 2053 CR par nature'!K60</f>
        <v>1520275</v>
      </c>
      <c r="M13" s="653">
        <f>'2052 et 2053 CR par nature'!L60</f>
        <v>1455200</v>
      </c>
    </row>
    <row r="14" spans="1:13" ht="13.2">
      <c r="A14" s="4"/>
      <c r="B14" s="1097"/>
      <c r="C14" s="1098"/>
      <c r="D14" s="890"/>
      <c r="E14" s="1006" t="s">
        <v>52</v>
      </c>
      <c r="F14" s="1094"/>
      <c r="G14" s="1094"/>
      <c r="H14" s="1094"/>
      <c r="I14" s="1094"/>
      <c r="J14" s="1094"/>
      <c r="K14" s="38" t="s">
        <v>1963</v>
      </c>
      <c r="L14" s="160"/>
      <c r="M14" s="457"/>
    </row>
    <row r="15" spans="1:13" ht="21.75" customHeight="1">
      <c r="A15" s="4"/>
      <c r="B15" s="1097"/>
      <c r="C15" s="1098"/>
      <c r="D15" s="891"/>
      <c r="E15" s="1006" t="s">
        <v>53</v>
      </c>
      <c r="F15" s="1094"/>
      <c r="G15" s="1094"/>
      <c r="H15" s="1094"/>
      <c r="I15" s="1094"/>
      <c r="J15" s="1094"/>
      <c r="K15" s="31" t="s">
        <v>1874</v>
      </c>
      <c r="L15" s="160"/>
      <c r="M15" s="457"/>
    </row>
    <row r="16" spans="1:13" ht="13.8" thickBot="1">
      <c r="A16" s="4"/>
      <c r="B16" s="1099"/>
      <c r="C16" s="1100"/>
      <c r="D16" s="892"/>
      <c r="E16" s="1114" t="s">
        <v>1227</v>
      </c>
      <c r="F16" s="1114"/>
      <c r="G16" s="1114"/>
      <c r="H16" s="1114"/>
      <c r="I16" s="1114"/>
      <c r="J16" s="1115"/>
      <c r="K16" s="140" t="s">
        <v>1875</v>
      </c>
      <c r="L16" s="432">
        <f>L5+L6+L7+L8+L9+L10+L11+L12+L13+L14+L15</f>
        <v>8125475</v>
      </c>
      <c r="M16" s="654">
        <f>M5+M6+M7+M8+M9+M10+M11+M12+M13+M14+M15</f>
        <v>5405200</v>
      </c>
    </row>
    <row r="17" spans="1:14" ht="16.5" customHeight="1">
      <c r="A17" s="4"/>
      <c r="B17" s="1130" t="s">
        <v>54</v>
      </c>
      <c r="C17" s="1131"/>
      <c r="D17" s="1126" t="s">
        <v>1977</v>
      </c>
      <c r="E17" s="1109" t="s">
        <v>55</v>
      </c>
      <c r="F17" s="1109"/>
      <c r="G17" s="1109"/>
      <c r="H17" s="1109"/>
      <c r="I17" s="1109"/>
      <c r="J17" s="1110"/>
      <c r="K17" s="138" t="s">
        <v>1876</v>
      </c>
      <c r="L17" s="651"/>
      <c r="M17" s="652"/>
    </row>
    <row r="18" spans="1:14" ht="18.75" customHeight="1">
      <c r="A18" s="4"/>
      <c r="B18" s="1132"/>
      <c r="C18" s="1133"/>
      <c r="D18" s="1127"/>
      <c r="E18" s="1005" t="s">
        <v>56</v>
      </c>
      <c r="F18" s="1005"/>
      <c r="G18" s="1005"/>
      <c r="H18" s="1005"/>
      <c r="I18" s="1005"/>
      <c r="J18" s="1006"/>
      <c r="K18" s="33" t="s">
        <v>1877</v>
      </c>
      <c r="L18" s="160"/>
      <c r="M18" s="457"/>
    </row>
    <row r="19" spans="1:14" ht="16.5" customHeight="1">
      <c r="A19" s="4"/>
      <c r="B19" s="1132"/>
      <c r="C19" s="1133"/>
      <c r="D19" s="1127"/>
      <c r="E19" s="1005" t="s">
        <v>57</v>
      </c>
      <c r="F19" s="1005"/>
      <c r="G19" s="1005"/>
      <c r="H19" s="1005"/>
      <c r="I19" s="1005"/>
      <c r="J19" s="1006"/>
      <c r="K19" s="31"/>
      <c r="L19" s="160"/>
      <c r="M19" s="457"/>
    </row>
    <row r="20" spans="1:14" ht="16.5" customHeight="1" thickBot="1">
      <c r="A20" s="4"/>
      <c r="B20" s="1134"/>
      <c r="C20" s="1135"/>
      <c r="D20" s="1127"/>
      <c r="E20" s="1114" t="s">
        <v>1222</v>
      </c>
      <c r="F20" s="1114"/>
      <c r="G20" s="1114"/>
      <c r="H20" s="1114"/>
      <c r="I20" s="1114"/>
      <c r="J20" s="1115"/>
      <c r="K20" s="140" t="s">
        <v>1421</v>
      </c>
      <c r="L20" s="432">
        <f>L17+L18+L19</f>
        <v>0</v>
      </c>
      <c r="M20" s="654">
        <f>M17+M18+M19</f>
        <v>0</v>
      </c>
    </row>
    <row r="21" spans="1:14" ht="13.2" customHeight="1">
      <c r="A21" s="4"/>
      <c r="B21" s="1130" t="s">
        <v>58</v>
      </c>
      <c r="C21" s="1131"/>
      <c r="D21" s="1127"/>
      <c r="E21" s="1109" t="s">
        <v>59</v>
      </c>
      <c r="F21" s="1109"/>
      <c r="G21" s="1109"/>
      <c r="H21" s="1109"/>
      <c r="I21" s="1109"/>
      <c r="J21" s="1110"/>
      <c r="K21" s="43" t="s">
        <v>1878</v>
      </c>
      <c r="L21" s="651"/>
      <c r="M21" s="652"/>
      <c r="N21" s="189" t="s">
        <v>2115</v>
      </c>
    </row>
    <row r="22" spans="1:14" ht="13.2">
      <c r="A22" s="4"/>
      <c r="B22" s="1132"/>
      <c r="C22" s="1133"/>
      <c r="D22" s="1127"/>
      <c r="E22" s="1006" t="s">
        <v>60</v>
      </c>
      <c r="F22" s="1094"/>
      <c r="G22" s="1094"/>
      <c r="H22" s="1094"/>
      <c r="I22" s="1094"/>
      <c r="J22" s="1094"/>
      <c r="K22" s="31" t="s">
        <v>1879</v>
      </c>
      <c r="L22" s="160">
        <v>110900</v>
      </c>
      <c r="M22" s="457">
        <v>65900</v>
      </c>
      <c r="N22" s="189" t="s">
        <v>2116</v>
      </c>
    </row>
    <row r="23" spans="1:14" ht="16.5" customHeight="1" thickBot="1">
      <c r="A23" s="4"/>
      <c r="B23" s="1134"/>
      <c r="C23" s="1135"/>
      <c r="D23" s="1127"/>
      <c r="E23" s="1114" t="s">
        <v>1228</v>
      </c>
      <c r="F23" s="1114"/>
      <c r="G23" s="1114"/>
      <c r="H23" s="1114"/>
      <c r="I23" s="1114"/>
      <c r="J23" s="1115"/>
      <c r="K23" s="142" t="s">
        <v>1880</v>
      </c>
      <c r="L23" s="656">
        <f>L21+L22</f>
        <v>110900</v>
      </c>
      <c r="M23" s="657">
        <f>M21+M22</f>
        <v>65900</v>
      </c>
    </row>
    <row r="24" spans="1:14" ht="13.2">
      <c r="A24" s="4"/>
      <c r="B24" s="1103" t="s">
        <v>1949</v>
      </c>
      <c r="C24" s="1104"/>
      <c r="D24" s="1127"/>
      <c r="E24" s="1109" t="s">
        <v>61</v>
      </c>
      <c r="F24" s="1109"/>
      <c r="G24" s="1109"/>
      <c r="H24" s="1109"/>
      <c r="I24" s="1109"/>
      <c r="J24" s="1110"/>
      <c r="K24" s="43" t="s">
        <v>1881</v>
      </c>
      <c r="L24" s="651"/>
      <c r="M24" s="652"/>
    </row>
    <row r="25" spans="1:14" ht="13.2">
      <c r="A25" s="4"/>
      <c r="B25" s="1105"/>
      <c r="C25" s="1106"/>
      <c r="D25" s="1127"/>
      <c r="E25" s="1005" t="s">
        <v>62</v>
      </c>
      <c r="F25" s="1005"/>
      <c r="G25" s="1005"/>
      <c r="H25" s="1005"/>
      <c r="I25" s="1005"/>
      <c r="J25" s="1006"/>
      <c r="K25" s="31" t="s">
        <v>1882</v>
      </c>
      <c r="L25" s="160"/>
      <c r="M25" s="457"/>
    </row>
    <row r="26" spans="1:14" ht="24.75" customHeight="1">
      <c r="A26" s="4"/>
      <c r="B26" s="1105"/>
      <c r="C26" s="1106"/>
      <c r="D26" s="1127"/>
      <c r="E26" s="1111" t="s">
        <v>1964</v>
      </c>
      <c r="F26" s="1005"/>
      <c r="G26" s="1005"/>
      <c r="H26" s="1005"/>
      <c r="I26" s="1005"/>
      <c r="J26" s="1006"/>
      <c r="K26" s="31" t="s">
        <v>1883</v>
      </c>
      <c r="L26" s="160">
        <v>5079625</v>
      </c>
      <c r="M26" s="457">
        <v>5968000</v>
      </c>
    </row>
    <row r="27" spans="1:14" ht="22.5" customHeight="1">
      <c r="A27" s="4"/>
      <c r="B27" s="1105"/>
      <c r="C27" s="1106"/>
      <c r="D27" s="1127"/>
      <c r="E27" s="1146" t="s">
        <v>63</v>
      </c>
      <c r="F27" s="1146"/>
      <c r="G27" s="1146"/>
      <c r="H27" s="1146"/>
      <c r="I27" s="1146"/>
      <c r="J27" s="1147"/>
      <c r="K27" s="31" t="s">
        <v>1884</v>
      </c>
      <c r="L27" s="549"/>
      <c r="M27" s="550"/>
    </row>
    <row r="28" spans="1:14" ht="13.2">
      <c r="A28" s="4"/>
      <c r="B28" s="1105"/>
      <c r="C28" s="1106"/>
      <c r="D28" s="1127"/>
      <c r="E28" s="1005" t="s">
        <v>64</v>
      </c>
      <c r="F28" s="1005"/>
      <c r="G28" s="1005"/>
      <c r="H28" s="1005"/>
      <c r="I28" s="1005"/>
      <c r="J28" s="1006"/>
      <c r="K28" s="31" t="s">
        <v>1885</v>
      </c>
      <c r="L28" s="160"/>
      <c r="M28" s="457"/>
    </row>
    <row r="29" spans="1:14" ht="13.2">
      <c r="A29" s="4"/>
      <c r="B29" s="1105"/>
      <c r="C29" s="1106"/>
      <c r="D29" s="1127"/>
      <c r="E29" s="1005" t="s">
        <v>65</v>
      </c>
      <c r="F29" s="1005"/>
      <c r="G29" s="1005"/>
      <c r="H29" s="1005"/>
      <c r="I29" s="1005"/>
      <c r="J29" s="1006"/>
      <c r="K29" s="31" t="s">
        <v>1886</v>
      </c>
      <c r="L29" s="160">
        <v>3940000</v>
      </c>
      <c r="M29" s="457">
        <v>3000000</v>
      </c>
    </row>
    <row r="30" spans="1:14" ht="21.75" customHeight="1">
      <c r="A30" s="4"/>
      <c r="B30" s="1105"/>
      <c r="C30" s="1106"/>
      <c r="D30" s="1127"/>
      <c r="E30" s="1002" t="s">
        <v>2014</v>
      </c>
      <c r="F30" s="1002"/>
      <c r="G30" s="1002"/>
      <c r="H30" s="1002"/>
      <c r="I30" s="1002"/>
      <c r="J30" s="1003"/>
      <c r="K30" s="31" t="s">
        <v>1887</v>
      </c>
      <c r="L30" s="506">
        <v>794000</v>
      </c>
      <c r="M30" s="508">
        <v>580000</v>
      </c>
    </row>
    <row r="31" spans="1:14" ht="28.5" customHeight="1">
      <c r="A31" s="4"/>
      <c r="B31" s="1105"/>
      <c r="C31" s="1106"/>
      <c r="D31" s="1127"/>
      <c r="E31" s="1111" t="s">
        <v>2013</v>
      </c>
      <c r="F31" s="1005"/>
      <c r="G31" s="1005"/>
      <c r="H31" s="1005"/>
      <c r="I31" s="1005"/>
      <c r="J31" s="1006"/>
      <c r="K31" s="31" t="s">
        <v>1888</v>
      </c>
      <c r="L31" s="160"/>
      <c r="M31" s="457"/>
    </row>
    <row r="32" spans="1:14" ht="22.5" customHeight="1" thickBot="1">
      <c r="A32" s="4"/>
      <c r="B32" s="1105"/>
      <c r="C32" s="1106"/>
      <c r="D32" s="1127"/>
      <c r="E32" s="1002" t="s">
        <v>1320</v>
      </c>
      <c r="F32" s="1002"/>
      <c r="G32" s="1002"/>
      <c r="H32" s="1002"/>
      <c r="I32" s="1002"/>
      <c r="J32" s="1003"/>
      <c r="K32" s="31" t="s">
        <v>1889</v>
      </c>
      <c r="L32" s="506"/>
      <c r="M32" s="508"/>
    </row>
    <row r="33" spans="1:13" ht="13.8" thickBot="1">
      <c r="A33" s="4"/>
      <c r="B33" s="1140" t="s">
        <v>1978</v>
      </c>
      <c r="C33" s="1141"/>
      <c r="D33" s="1127"/>
      <c r="E33" s="1112" t="s">
        <v>1632</v>
      </c>
      <c r="F33" s="1112"/>
      <c r="G33" s="1112"/>
      <c r="H33" s="1112"/>
      <c r="I33" s="1112"/>
      <c r="J33" s="1113"/>
      <c r="K33" s="43" t="s">
        <v>1890</v>
      </c>
      <c r="L33" s="651">
        <v>92000</v>
      </c>
      <c r="M33" s="652">
        <v>19700</v>
      </c>
    </row>
    <row r="34" spans="1:13" ht="13.8" thickBot="1">
      <c r="A34" s="4"/>
      <c r="B34" s="1136"/>
      <c r="C34" s="1137"/>
      <c r="D34" s="1127"/>
      <c r="E34" s="1144" t="s">
        <v>1229</v>
      </c>
      <c r="F34" s="1144"/>
      <c r="G34" s="1144"/>
      <c r="H34" s="1144"/>
      <c r="I34" s="1144"/>
      <c r="J34" s="1145"/>
      <c r="K34" s="441" t="s">
        <v>1891</v>
      </c>
      <c r="L34" s="660">
        <f>L24+L25+L26+L27+L28+L29+L30+L32+L31+L33</f>
        <v>9905625</v>
      </c>
      <c r="M34" s="661">
        <f>M24+M25+M26+M27+M28+M29+M30+M32+M31+M33</f>
        <v>9567700</v>
      </c>
    </row>
    <row r="35" spans="1:13" ht="13.8" thickBot="1">
      <c r="A35" s="4"/>
      <c r="B35" s="1138"/>
      <c r="C35" s="1139"/>
      <c r="D35" s="1127"/>
      <c r="E35" s="1143" t="s">
        <v>2012</v>
      </c>
      <c r="F35" s="1112"/>
      <c r="G35" s="1112"/>
      <c r="H35" s="1112"/>
      <c r="I35" s="1113"/>
      <c r="J35" s="443" t="s">
        <v>1230</v>
      </c>
      <c r="K35" s="134" t="s">
        <v>1892</v>
      </c>
      <c r="L35" s="515"/>
      <c r="M35" s="655"/>
    </row>
    <row r="36" spans="1:13" ht="16.5" customHeight="1" thickBot="1">
      <c r="A36" s="4"/>
      <c r="B36" s="1101"/>
      <c r="C36" s="1102"/>
      <c r="D36" s="893"/>
      <c r="E36" s="1107" t="s">
        <v>1231</v>
      </c>
      <c r="F36" s="1107"/>
      <c r="G36" s="1107"/>
      <c r="H36" s="1107"/>
      <c r="I36" s="1107"/>
      <c r="J36" s="1108"/>
      <c r="K36" s="833" t="s">
        <v>1893</v>
      </c>
      <c r="L36" s="834">
        <f>L16+L20+L23+L34+L35</f>
        <v>18142000</v>
      </c>
      <c r="M36" s="835">
        <f>M16+M20+M23+M34+M35</f>
        <v>15038800</v>
      </c>
    </row>
    <row r="37" spans="1:13" ht="16.5" customHeight="1">
      <c r="A37" s="4"/>
      <c r="B37" s="1151" t="s">
        <v>69</v>
      </c>
      <c r="C37" s="1104"/>
      <c r="D37" s="882"/>
      <c r="E37" s="1158" t="s">
        <v>70</v>
      </c>
      <c r="F37" s="1109"/>
      <c r="G37" s="1109"/>
      <c r="H37" s="1109"/>
      <c r="I37" s="1109"/>
      <c r="J37" s="1110"/>
      <c r="K37" s="43" t="s">
        <v>1894</v>
      </c>
      <c r="L37" s="651"/>
      <c r="M37" s="652"/>
    </row>
    <row r="38" spans="1:13" ht="16.5" customHeight="1">
      <c r="A38" s="4"/>
      <c r="B38" s="1105"/>
      <c r="C38" s="1106"/>
      <c r="D38" s="883"/>
      <c r="E38" s="1142" t="s">
        <v>71</v>
      </c>
      <c r="F38" s="1005"/>
      <c r="G38" s="1005"/>
      <c r="H38" s="1005"/>
      <c r="I38" s="1005"/>
      <c r="J38" s="1006"/>
      <c r="K38" s="31" t="s">
        <v>1895</v>
      </c>
      <c r="L38" s="160"/>
      <c r="M38" s="457"/>
    </row>
    <row r="39" spans="1:13" ht="16.5" customHeight="1">
      <c r="A39" s="4"/>
      <c r="B39" s="1105"/>
      <c r="C39" s="1106"/>
      <c r="D39" s="883"/>
      <c r="E39" s="1142" t="s">
        <v>72</v>
      </c>
      <c r="F39" s="1005"/>
      <c r="G39" s="1005"/>
      <c r="H39" s="1005"/>
      <c r="I39" s="1005"/>
      <c r="J39" s="1006"/>
      <c r="K39" s="31" t="s">
        <v>1896</v>
      </c>
      <c r="L39" s="160"/>
      <c r="M39" s="457"/>
    </row>
    <row r="40" spans="1:13" ht="16.5" customHeight="1">
      <c r="A40" s="4"/>
      <c r="B40" s="1105"/>
      <c r="C40" s="1106"/>
      <c r="D40" s="883"/>
      <c r="E40" s="1142" t="s">
        <v>73</v>
      </c>
      <c r="F40" s="1005"/>
      <c r="G40" s="1005"/>
      <c r="H40" s="1005"/>
      <c r="I40" s="1005"/>
      <c r="J40" s="1006"/>
      <c r="K40" s="31" t="s">
        <v>1897</v>
      </c>
      <c r="L40" s="160"/>
      <c r="M40" s="457"/>
    </row>
    <row r="41" spans="1:13" ht="16.5" customHeight="1">
      <c r="A41" s="4"/>
      <c r="B41" s="1105"/>
      <c r="C41" s="1106"/>
      <c r="D41" s="883"/>
      <c r="E41" s="1142" t="s">
        <v>74</v>
      </c>
      <c r="F41" s="1005"/>
      <c r="G41" s="1005"/>
      <c r="H41" s="1005"/>
      <c r="I41" s="1005"/>
      <c r="J41" s="1006"/>
      <c r="K41" s="31" t="s">
        <v>1898</v>
      </c>
      <c r="L41" s="160"/>
      <c r="M41" s="457"/>
    </row>
    <row r="42" spans="1:13" ht="16.5" customHeight="1">
      <c r="A42" s="4"/>
      <c r="B42" s="1105"/>
      <c r="C42" s="1106"/>
      <c r="D42" s="883"/>
      <c r="E42" s="1142" t="s">
        <v>75</v>
      </c>
      <c r="F42" s="1005"/>
      <c r="G42" s="1005"/>
      <c r="H42" s="1005"/>
      <c r="I42" s="1005"/>
      <c r="J42" s="1006"/>
      <c r="K42" s="31" t="s">
        <v>1899</v>
      </c>
      <c r="L42" s="160"/>
      <c r="M42" s="457"/>
    </row>
    <row r="43" spans="1:13" ht="16.5" customHeight="1">
      <c r="A43" s="4"/>
      <c r="B43" s="1105"/>
      <c r="C43" s="1106"/>
      <c r="D43" s="883"/>
      <c r="E43" s="1142" t="s">
        <v>76</v>
      </c>
      <c r="F43" s="1005"/>
      <c r="G43" s="1005"/>
      <c r="H43" s="1005"/>
      <c r="I43" s="1005"/>
      <c r="J43" s="1006"/>
      <c r="K43" s="31" t="s">
        <v>1900</v>
      </c>
      <c r="L43" s="160"/>
      <c r="M43" s="457"/>
    </row>
    <row r="44" spans="1:13" ht="16.5" customHeight="1" thickBot="1">
      <c r="A44" s="4"/>
      <c r="B44" s="1152"/>
      <c r="C44" s="1153"/>
      <c r="D44" s="884"/>
      <c r="E44" s="1148" t="s">
        <v>1965</v>
      </c>
      <c r="F44" s="1149"/>
      <c r="G44" s="1149"/>
      <c r="H44" s="1149"/>
      <c r="I44" s="1149"/>
      <c r="J44" s="1150"/>
      <c r="K44" s="45" t="s">
        <v>1900</v>
      </c>
      <c r="L44" s="161"/>
      <c r="M44" s="502"/>
    </row>
    <row r="46" spans="1:13" ht="15.75" customHeight="1" thickBot="1"/>
    <row r="47" spans="1:13" ht="28.5" customHeight="1" thickBot="1">
      <c r="A47" s="4"/>
      <c r="B47" s="1116" t="s">
        <v>1946</v>
      </c>
      <c r="C47" s="1117"/>
      <c r="D47" s="1117"/>
      <c r="E47" s="1117"/>
      <c r="F47" s="1117"/>
      <c r="G47" s="1117"/>
      <c r="H47" s="1117"/>
      <c r="I47" s="1117"/>
      <c r="J47" s="1117"/>
      <c r="K47" s="1117"/>
      <c r="L47" s="1117"/>
      <c r="M47" s="1118"/>
    </row>
    <row r="48" spans="1:13" s="55" customFormat="1" ht="18.75" customHeight="1" thickBot="1">
      <c r="A48" s="8"/>
      <c r="B48" s="1154" t="s">
        <v>1950</v>
      </c>
      <c r="C48" s="972" t="s">
        <v>1631</v>
      </c>
      <c r="D48" s="886"/>
      <c r="E48" s="1091" t="s">
        <v>1630</v>
      </c>
      <c r="F48" s="1091"/>
      <c r="G48" s="1091"/>
      <c r="H48" s="1091"/>
      <c r="I48" s="1091"/>
      <c r="J48" s="1092"/>
      <c r="K48" s="546"/>
      <c r="L48" s="547"/>
      <c r="M48" s="548"/>
    </row>
    <row r="49" spans="1:15" s="55" customFormat="1" ht="16.5" customHeight="1">
      <c r="A49" s="8"/>
      <c r="B49" s="1155"/>
      <c r="C49" s="1156" t="s">
        <v>842</v>
      </c>
      <c r="D49" s="887"/>
      <c r="E49" s="1109" t="s">
        <v>65</v>
      </c>
      <c r="F49" s="1109"/>
      <c r="G49" s="1109"/>
      <c r="H49" s="1109"/>
      <c r="I49" s="1109"/>
      <c r="J49" s="1110"/>
      <c r="K49" s="43" t="s">
        <v>1886</v>
      </c>
      <c r="L49" s="171">
        <f>'2051 Passif'!L29</f>
        <v>3940000</v>
      </c>
      <c r="M49" s="172">
        <f>'2051 Passif'!M29</f>
        <v>3000000</v>
      </c>
    </row>
    <row r="50" spans="1:15" s="55" customFormat="1" ht="16.5" customHeight="1">
      <c r="A50" s="8"/>
      <c r="B50" s="1155"/>
      <c r="C50" s="1157"/>
      <c r="D50" s="888"/>
      <c r="E50" s="1002" t="s">
        <v>1317</v>
      </c>
      <c r="F50" s="1002"/>
      <c r="G50" s="1002"/>
      <c r="H50" s="1002"/>
      <c r="I50" s="1002"/>
      <c r="J50" s="1003"/>
      <c r="K50" s="31"/>
      <c r="L50" s="503"/>
      <c r="M50" s="504"/>
    </row>
    <row r="51" spans="1:15" s="55" customFormat="1" ht="16.5" customHeight="1" thickBot="1">
      <c r="A51" s="8"/>
      <c r="B51" s="1155"/>
      <c r="C51" s="1157"/>
      <c r="D51" s="888"/>
      <c r="E51" s="1002" t="s">
        <v>872</v>
      </c>
      <c r="F51" s="1002"/>
      <c r="G51" s="1002"/>
      <c r="H51" s="1002"/>
      <c r="I51" s="1002"/>
      <c r="J51" s="1003"/>
      <c r="K51" s="31"/>
      <c r="L51" s="503"/>
      <c r="M51" s="504"/>
    </row>
    <row r="52" spans="1:15" s="55" customFormat="1" ht="16.5" customHeight="1">
      <c r="A52" s="8"/>
      <c r="B52" s="1155"/>
      <c r="C52" s="1156" t="s">
        <v>1623</v>
      </c>
      <c r="D52" s="887"/>
      <c r="E52" s="1109" t="s">
        <v>68</v>
      </c>
      <c r="F52" s="1109"/>
      <c r="G52" s="1109"/>
      <c r="H52" s="1109"/>
      <c r="I52" s="1109"/>
      <c r="J52" s="1110"/>
      <c r="K52" s="43" t="s">
        <v>1888</v>
      </c>
      <c r="L52" s="171">
        <f>'2051 Passif'!L31</f>
        <v>0</v>
      </c>
      <c r="M52" s="172">
        <f>'2051 Passif'!M31</f>
        <v>0</v>
      </c>
    </row>
    <row r="53" spans="1:15" s="55" customFormat="1" ht="16.5" customHeight="1">
      <c r="A53" s="8"/>
      <c r="B53" s="1155"/>
      <c r="C53" s="1157"/>
      <c r="D53" s="888"/>
      <c r="E53" s="1002" t="s">
        <v>1318</v>
      </c>
      <c r="F53" s="1002"/>
      <c r="G53" s="1002"/>
      <c r="H53" s="1002"/>
      <c r="I53" s="1002"/>
      <c r="J53" s="1003"/>
      <c r="K53" s="31"/>
      <c r="L53" s="503"/>
      <c r="M53" s="504"/>
    </row>
    <row r="54" spans="1:15" s="55" customFormat="1" ht="16.5" customHeight="1" thickBot="1">
      <c r="A54" s="8"/>
      <c r="B54" s="1155"/>
      <c r="C54" s="1157"/>
      <c r="D54" s="889"/>
      <c r="E54" s="1002" t="s">
        <v>1624</v>
      </c>
      <c r="F54" s="1002"/>
      <c r="G54" s="1002"/>
      <c r="H54" s="1002"/>
      <c r="I54" s="1002"/>
      <c r="J54" s="1003"/>
      <c r="K54" s="31"/>
      <c r="L54" s="503"/>
      <c r="M54" s="504"/>
    </row>
    <row r="55" spans="1:15" ht="15.75" customHeight="1">
      <c r="A55" s="722"/>
      <c r="B55" s="121"/>
      <c r="C55" s="121"/>
      <c r="D55" s="121"/>
      <c r="E55" s="121"/>
      <c r="F55" s="121"/>
      <c r="G55" s="121"/>
      <c r="H55" s="121"/>
      <c r="I55" s="121"/>
      <c r="J55" s="121"/>
      <c r="K55" s="121"/>
      <c r="L55" s="121"/>
      <c r="M55" s="121"/>
      <c r="N55" s="722"/>
      <c r="O55" s="722"/>
    </row>
    <row r="56" spans="1:15" ht="15.75" customHeight="1">
      <c r="A56" s="722"/>
      <c r="B56" s="722"/>
      <c r="C56" s="722"/>
      <c r="D56" s="722"/>
      <c r="E56" s="722"/>
      <c r="F56" s="722"/>
      <c r="G56" s="722"/>
      <c r="H56" s="722"/>
      <c r="I56" s="857"/>
      <c r="J56" s="722"/>
      <c r="K56" s="722"/>
      <c r="L56" s="722"/>
      <c r="M56" s="722"/>
      <c r="N56" s="722"/>
    </row>
  </sheetData>
  <mergeCells count="65">
    <mergeCell ref="E43:J43"/>
    <mergeCell ref="E44:J44"/>
    <mergeCell ref="B47:M47"/>
    <mergeCell ref="B37:C44"/>
    <mergeCell ref="B48:B54"/>
    <mergeCell ref="C49:C51"/>
    <mergeCell ref="C52:C54"/>
    <mergeCell ref="E41:J41"/>
    <mergeCell ref="E42:J42"/>
    <mergeCell ref="E40:J40"/>
    <mergeCell ref="E37:J37"/>
    <mergeCell ref="E38:J38"/>
    <mergeCell ref="E39:J39"/>
    <mergeCell ref="E51:J51"/>
    <mergeCell ref="E53:J53"/>
    <mergeCell ref="E54:J54"/>
    <mergeCell ref="D17:D35"/>
    <mergeCell ref="E35:I35"/>
    <mergeCell ref="E32:J32"/>
    <mergeCell ref="E34:J34"/>
    <mergeCell ref="E23:J23"/>
    <mergeCell ref="E27:J27"/>
    <mergeCell ref="E21:J21"/>
    <mergeCell ref="E22:J22"/>
    <mergeCell ref="E48:J48"/>
    <mergeCell ref="E49:J49"/>
    <mergeCell ref="E50:J50"/>
    <mergeCell ref="E52:J52"/>
    <mergeCell ref="B21:C23"/>
    <mergeCell ref="B17:C20"/>
    <mergeCell ref="B34:C34"/>
    <mergeCell ref="B35:C35"/>
    <mergeCell ref="B33:C33"/>
    <mergeCell ref="B3:M3"/>
    <mergeCell ref="B4:C4"/>
    <mergeCell ref="K4:L4"/>
    <mergeCell ref="E18:J18"/>
    <mergeCell ref="E19:J19"/>
    <mergeCell ref="E13:J13"/>
    <mergeCell ref="E14:J14"/>
    <mergeCell ref="E15:J15"/>
    <mergeCell ref="E4:J4"/>
    <mergeCell ref="D5:D13"/>
    <mergeCell ref="E16:J16"/>
    <mergeCell ref="E8:J8"/>
    <mergeCell ref="E7:J7"/>
    <mergeCell ref="E6:J6"/>
    <mergeCell ref="E17:J17"/>
    <mergeCell ref="E11:J11"/>
    <mergeCell ref="E12:J12"/>
    <mergeCell ref="E10:J10"/>
    <mergeCell ref="E9:J9"/>
    <mergeCell ref="B5:C16"/>
    <mergeCell ref="B36:C36"/>
    <mergeCell ref="B24:C32"/>
    <mergeCell ref="E36:J36"/>
    <mergeCell ref="E24:J24"/>
    <mergeCell ref="E25:J25"/>
    <mergeCell ref="E26:J26"/>
    <mergeCell ref="E28:J28"/>
    <mergeCell ref="E29:J29"/>
    <mergeCell ref="E30:J30"/>
    <mergeCell ref="E31:J31"/>
    <mergeCell ref="E33:J33"/>
    <mergeCell ref="E20:J20"/>
  </mergeCells>
  <hyperlinks>
    <hyperlink ref="A1" location="Sommaire!A1" display="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Feuil5">
    <tabColor theme="3" tint="0.59999389629810485"/>
    <outlinePr summaryBelow="0" summaryRight="0"/>
  </sheetPr>
  <dimension ref="A1:M81"/>
  <sheetViews>
    <sheetView showGridLines="0" zoomScale="90" zoomScaleNormal="90" workbookViewId="0">
      <pane xSplit="2" ySplit="5" topLeftCell="C6" activePane="bottomRight" state="frozen"/>
      <selection pane="topRight" activeCell="C1" sqref="C1"/>
      <selection pane="bottomLeft" activeCell="A6" sqref="A6"/>
      <selection pane="bottomRight"/>
    </sheetView>
  </sheetViews>
  <sheetFormatPr baseColWidth="10" defaultColWidth="17.33203125" defaultRowHeight="15.75" customHeight="1"/>
  <cols>
    <col min="1" max="1" width="3.5546875" customWidth="1"/>
    <col min="2" max="2" width="16.88671875" customWidth="1"/>
    <col min="3" max="3" width="5.5546875" style="55" bestFit="1" customWidth="1"/>
    <col min="4" max="4" width="6" style="55" customWidth="1"/>
    <col min="5" max="5" width="11.88671875" customWidth="1"/>
    <col min="6" max="6" width="3.44140625" style="55" bestFit="1" customWidth="1"/>
    <col min="7" max="7" width="17.44140625" style="55" customWidth="1"/>
    <col min="8" max="8" width="3.44140625" style="55" customWidth="1"/>
    <col min="9" max="9" width="35.33203125" style="55" customWidth="1"/>
    <col min="10" max="10" width="4.33203125" style="55" bestFit="1" customWidth="1"/>
    <col min="11" max="11" width="13.44140625" bestFit="1" customWidth="1"/>
    <col min="12" max="12" width="14.77734375" customWidth="1"/>
  </cols>
  <sheetData>
    <row r="1" spans="1:13" ht="15.6" customHeight="1" thickBot="1">
      <c r="A1" s="981" t="s">
        <v>2015</v>
      </c>
      <c r="B1" s="4"/>
      <c r="C1" s="4"/>
      <c r="D1" s="4"/>
      <c r="E1" s="4"/>
      <c r="F1" s="4"/>
      <c r="G1" s="4"/>
      <c r="H1" s="4"/>
      <c r="I1" s="4"/>
      <c r="J1" s="4"/>
    </row>
    <row r="2" spans="1:13" ht="18.600000000000001" thickBot="1">
      <c r="A2" s="4"/>
      <c r="B2" s="1219" t="s">
        <v>2107</v>
      </c>
      <c r="C2" s="1220"/>
      <c r="D2" s="1220"/>
      <c r="E2" s="1220"/>
      <c r="F2" s="1220"/>
      <c r="G2" s="1220"/>
      <c r="H2" s="1220"/>
      <c r="I2" s="1220"/>
      <c r="J2" s="1220"/>
      <c r="K2" s="1220"/>
      <c r="L2" s="1221"/>
    </row>
    <row r="3" spans="1:13" ht="14.4">
      <c r="A3" s="4"/>
      <c r="B3" s="1060"/>
      <c r="C3" s="1237" t="s">
        <v>43</v>
      </c>
      <c r="D3" s="1237"/>
      <c r="E3" s="1237"/>
      <c r="F3" s="1237"/>
      <c r="G3" s="1237"/>
      <c r="H3" s="1237"/>
      <c r="I3" s="1237"/>
      <c r="J3" s="1171"/>
      <c r="K3" s="1171"/>
      <c r="L3" s="1172"/>
    </row>
    <row r="4" spans="1:13" s="55" customFormat="1" ht="14.4">
      <c r="A4" s="4"/>
      <c r="B4" s="1159"/>
      <c r="C4" s="1174"/>
      <c r="D4" s="1174"/>
      <c r="E4" s="1174"/>
      <c r="F4" s="1174">
        <f>'Informations complémentaire'!D8</f>
        <v>2012</v>
      </c>
      <c r="G4" s="1174"/>
      <c r="H4" s="1174"/>
      <c r="I4" s="1174"/>
      <c r="J4" s="1174"/>
      <c r="K4" s="1174"/>
      <c r="L4" s="1231">
        <f>IFERROR('Informations complémentaire'!D8-1,'Informations complémentaire'!D8&amp;" - 1")</f>
        <v>2011</v>
      </c>
    </row>
    <row r="5" spans="1:13" s="55" customFormat="1" ht="28.95" customHeight="1" thickBot="1">
      <c r="A5" s="4"/>
      <c r="B5" s="1160"/>
      <c r="C5" s="1182"/>
      <c r="D5" s="1182"/>
      <c r="E5" s="1182"/>
      <c r="F5" s="1161" t="s">
        <v>1303</v>
      </c>
      <c r="G5" s="1161"/>
      <c r="H5" s="1161" t="s">
        <v>1304</v>
      </c>
      <c r="I5" s="1161"/>
      <c r="J5" s="1173" t="s">
        <v>1305</v>
      </c>
      <c r="K5" s="1173"/>
      <c r="L5" s="1232"/>
      <c r="M5" s="187"/>
    </row>
    <row r="6" spans="1:13" ht="12.75" customHeight="1">
      <c r="A6" s="4"/>
      <c r="B6" s="1225" t="s">
        <v>77</v>
      </c>
      <c r="C6" s="1168" t="s">
        <v>78</v>
      </c>
      <c r="D6" s="1181"/>
      <c r="E6" s="1181"/>
      <c r="F6" s="137" t="s">
        <v>1786</v>
      </c>
      <c r="G6" s="515"/>
      <c r="H6" s="137" t="s">
        <v>1788</v>
      </c>
      <c r="I6" s="515"/>
      <c r="J6" s="137" t="s">
        <v>565</v>
      </c>
      <c r="K6" s="183">
        <v>550000</v>
      </c>
      <c r="L6" s="184">
        <v>650000</v>
      </c>
    </row>
    <row r="7" spans="1:13" s="55" customFormat="1" ht="16.5" customHeight="1">
      <c r="A7" s="4"/>
      <c r="B7" s="998"/>
      <c r="C7" s="1178" t="s">
        <v>1306</v>
      </c>
      <c r="D7" s="1179"/>
      <c r="E7" s="477" t="s">
        <v>1301</v>
      </c>
      <c r="F7" s="32" t="s">
        <v>1859</v>
      </c>
      <c r="G7" s="476">
        <v>16630000</v>
      </c>
      <c r="H7" s="32" t="s">
        <v>1860</v>
      </c>
      <c r="I7" s="160">
        <v>3902000</v>
      </c>
      <c r="J7" s="32" t="s">
        <v>1861</v>
      </c>
      <c r="K7" s="173">
        <f>G7+I7</f>
        <v>20532000</v>
      </c>
      <c r="L7" s="174">
        <v>16672000</v>
      </c>
    </row>
    <row r="8" spans="1:13" ht="12.75" customHeight="1">
      <c r="A8" s="4"/>
      <c r="B8" s="998"/>
      <c r="C8" s="1180"/>
      <c r="D8" s="1179"/>
      <c r="E8" s="38" t="s">
        <v>1302</v>
      </c>
      <c r="F8" s="32" t="s">
        <v>1862</v>
      </c>
      <c r="G8" s="160">
        <v>25000</v>
      </c>
      <c r="H8" s="32" t="s">
        <v>1863</v>
      </c>
      <c r="I8" s="160"/>
      <c r="J8" s="32" t="s">
        <v>1864</v>
      </c>
      <c r="K8" s="173">
        <f>G8+I8</f>
        <v>25000</v>
      </c>
      <c r="L8" s="174">
        <v>65000</v>
      </c>
    </row>
    <row r="9" spans="1:13" ht="12.75" customHeight="1">
      <c r="A9" s="4"/>
      <c r="B9" s="998"/>
      <c r="C9" s="478" t="s">
        <v>1260</v>
      </c>
      <c r="D9" s="478"/>
      <c r="E9" s="478"/>
      <c r="F9" s="640" t="s">
        <v>1787</v>
      </c>
      <c r="G9" s="479">
        <f>G6+G7+G8</f>
        <v>16655000</v>
      </c>
      <c r="H9" s="640" t="s">
        <v>1789</v>
      </c>
      <c r="I9" s="479">
        <f>I6+I7+I8</f>
        <v>3902000</v>
      </c>
      <c r="J9" s="470" t="s">
        <v>1790</v>
      </c>
      <c r="K9" s="177">
        <f>K6+K7+K8</f>
        <v>21107000</v>
      </c>
      <c r="L9" s="178">
        <f>L6+L7+L8</f>
        <v>17387000</v>
      </c>
    </row>
    <row r="10" spans="1:13" ht="12.75" customHeight="1">
      <c r="A10" s="4"/>
      <c r="B10" s="998"/>
      <c r="C10" s="1005" t="s">
        <v>79</v>
      </c>
      <c r="D10" s="1005"/>
      <c r="E10" s="1005"/>
      <c r="F10" s="1005"/>
      <c r="G10" s="1005"/>
      <c r="H10" s="1005"/>
      <c r="I10" s="1006"/>
      <c r="J10" s="32" t="s">
        <v>575</v>
      </c>
      <c r="K10" s="173">
        <v>-78000</v>
      </c>
      <c r="L10" s="174">
        <v>5500</v>
      </c>
    </row>
    <row r="11" spans="1:13" ht="12.75" customHeight="1">
      <c r="A11" s="4"/>
      <c r="B11" s="998"/>
      <c r="C11" s="1005" t="s">
        <v>80</v>
      </c>
      <c r="D11" s="1005"/>
      <c r="E11" s="1005"/>
      <c r="F11" s="1005"/>
      <c r="G11" s="1005"/>
      <c r="H11" s="1005"/>
      <c r="I11" s="1006"/>
      <c r="J11" s="32" t="s">
        <v>573</v>
      </c>
      <c r="K11" s="173">
        <v>125000</v>
      </c>
      <c r="L11" s="174"/>
    </row>
    <row r="12" spans="1:13" ht="12.75" customHeight="1">
      <c r="A12" s="4"/>
      <c r="B12" s="998"/>
      <c r="C12" s="1005" t="s">
        <v>81</v>
      </c>
      <c r="D12" s="1005"/>
      <c r="E12" s="1005"/>
      <c r="F12" s="1005"/>
      <c r="G12" s="1005"/>
      <c r="H12" s="1005"/>
      <c r="I12" s="1006"/>
      <c r="J12" s="32" t="s">
        <v>583</v>
      </c>
      <c r="K12" s="173"/>
      <c r="L12" s="174">
        <v>12000</v>
      </c>
    </row>
    <row r="13" spans="1:13" ht="12.75" customHeight="1">
      <c r="A13" s="4"/>
      <c r="B13" s="998"/>
      <c r="C13" s="1006" t="s">
        <v>82</v>
      </c>
      <c r="D13" s="1094"/>
      <c r="E13" s="1175"/>
      <c r="F13" s="1175"/>
      <c r="G13" s="1175"/>
      <c r="H13" s="1175"/>
      <c r="I13" s="1175"/>
      <c r="J13" s="32" t="s">
        <v>1791</v>
      </c>
      <c r="K13" s="173"/>
      <c r="L13" s="174"/>
    </row>
    <row r="14" spans="1:13" ht="12.75" customHeight="1" thickBot="1">
      <c r="A14" s="4"/>
      <c r="B14" s="998"/>
      <c r="C14" s="1006" t="s">
        <v>84</v>
      </c>
      <c r="D14" s="1094"/>
      <c r="E14" s="1094"/>
      <c r="F14" s="1094"/>
      <c r="G14" s="1094"/>
      <c r="H14" s="1094"/>
      <c r="I14" s="1094"/>
      <c r="J14" s="32" t="s">
        <v>1792</v>
      </c>
      <c r="K14" s="173"/>
      <c r="L14" s="174"/>
    </row>
    <row r="15" spans="1:13" ht="12.75" customHeight="1" thickBot="1">
      <c r="A15" s="4"/>
      <c r="B15" s="1047"/>
      <c r="C15" s="1176" t="s">
        <v>1239</v>
      </c>
      <c r="D15" s="1177"/>
      <c r="E15" s="1177"/>
      <c r="F15" s="1177"/>
      <c r="G15" s="1177"/>
      <c r="H15" s="1177"/>
      <c r="I15" s="952" t="s">
        <v>1242</v>
      </c>
      <c r="J15" s="139" t="s">
        <v>1793</v>
      </c>
      <c r="K15" s="180">
        <f>K9+K10+K11+K12+K13+K14</f>
        <v>21154000</v>
      </c>
      <c r="L15" s="181">
        <f>L9+L10+L11+L12+L13+L14</f>
        <v>17404500</v>
      </c>
    </row>
    <row r="16" spans="1:13" ht="12.75" customHeight="1">
      <c r="A16" s="4"/>
      <c r="B16" s="1229" t="s">
        <v>85</v>
      </c>
      <c r="C16" s="1109" t="s">
        <v>86</v>
      </c>
      <c r="D16" s="1109"/>
      <c r="E16" s="1109"/>
      <c r="F16" s="1109"/>
      <c r="G16" s="1109"/>
      <c r="H16" s="1109"/>
      <c r="I16" s="1110"/>
      <c r="J16" s="41" t="s">
        <v>567</v>
      </c>
      <c r="K16" s="171">
        <v>250000</v>
      </c>
      <c r="L16" s="172">
        <v>410000</v>
      </c>
    </row>
    <row r="17" spans="1:12" ht="12.75" customHeight="1">
      <c r="A17" s="4"/>
      <c r="B17" s="998"/>
      <c r="C17" s="1111" t="s">
        <v>1619</v>
      </c>
      <c r="D17" s="1005"/>
      <c r="E17" s="1005"/>
      <c r="F17" s="1005"/>
      <c r="G17" s="1005"/>
      <c r="H17" s="1005"/>
      <c r="I17" s="1006"/>
      <c r="J17" s="32" t="s">
        <v>569</v>
      </c>
      <c r="K17" s="173">
        <v>-367000</v>
      </c>
      <c r="L17" s="174">
        <v>5000</v>
      </c>
    </row>
    <row r="18" spans="1:12" ht="12.75" customHeight="1">
      <c r="A18" s="4"/>
      <c r="B18" s="998"/>
      <c r="C18" s="1005" t="s">
        <v>87</v>
      </c>
      <c r="D18" s="1005"/>
      <c r="E18" s="1005"/>
      <c r="F18" s="1005"/>
      <c r="G18" s="1005"/>
      <c r="H18" s="1005"/>
      <c r="I18" s="1006"/>
      <c r="J18" s="32" t="s">
        <v>577</v>
      </c>
      <c r="K18" s="173">
        <v>6450000</v>
      </c>
      <c r="L18" s="174">
        <v>5550800</v>
      </c>
    </row>
    <row r="19" spans="1:12" ht="12.75" customHeight="1">
      <c r="A19" s="4"/>
      <c r="B19" s="998"/>
      <c r="C19" s="1111" t="s">
        <v>1620</v>
      </c>
      <c r="D19" s="1005"/>
      <c r="E19" s="1005"/>
      <c r="F19" s="1005"/>
      <c r="G19" s="1005"/>
      <c r="H19" s="1005"/>
      <c r="I19" s="1006"/>
      <c r="J19" s="32" t="s">
        <v>579</v>
      </c>
      <c r="K19" s="173">
        <v>35000</v>
      </c>
      <c r="L19" s="174">
        <v>20000</v>
      </c>
    </row>
    <row r="20" spans="1:12" ht="12.75" customHeight="1">
      <c r="A20" s="4"/>
      <c r="B20" s="998"/>
      <c r="C20" s="1005" t="s">
        <v>88</v>
      </c>
      <c r="D20" s="1005"/>
      <c r="E20" s="1005"/>
      <c r="F20" s="1005"/>
      <c r="G20" s="1005"/>
      <c r="H20" s="1005"/>
      <c r="I20" s="1006"/>
      <c r="J20" s="32" t="s">
        <v>581</v>
      </c>
      <c r="K20" s="173">
        <v>6000000</v>
      </c>
      <c r="L20" s="174">
        <v>4800000</v>
      </c>
    </row>
    <row r="21" spans="1:12" ht="12.75" customHeight="1">
      <c r="A21" s="4"/>
      <c r="B21" s="998"/>
      <c r="C21" s="1005" t="s">
        <v>89</v>
      </c>
      <c r="D21" s="1005"/>
      <c r="E21" s="1005"/>
      <c r="F21" s="1005"/>
      <c r="G21" s="1005"/>
      <c r="H21" s="1005"/>
      <c r="I21" s="1006"/>
      <c r="J21" s="32" t="s">
        <v>585</v>
      </c>
      <c r="K21" s="173">
        <v>685000</v>
      </c>
      <c r="L21" s="174">
        <v>650000</v>
      </c>
    </row>
    <row r="22" spans="1:12" ht="12.75" customHeight="1">
      <c r="A22" s="4"/>
      <c r="B22" s="998"/>
      <c r="C22" s="1005" t="s">
        <v>90</v>
      </c>
      <c r="D22" s="1005"/>
      <c r="E22" s="1005"/>
      <c r="F22" s="1005"/>
      <c r="G22" s="1005"/>
      <c r="H22" s="1005"/>
      <c r="I22" s="1006"/>
      <c r="J22" s="32" t="s">
        <v>587</v>
      </c>
      <c r="K22" s="173">
        <v>2846000</v>
      </c>
      <c r="L22" s="174">
        <v>2206000</v>
      </c>
    </row>
    <row r="23" spans="1:12" ht="12.75" customHeight="1" thickBot="1">
      <c r="A23" s="4"/>
      <c r="B23" s="998"/>
      <c r="C23" s="1005" t="s">
        <v>91</v>
      </c>
      <c r="D23" s="1005"/>
      <c r="E23" s="1005"/>
      <c r="F23" s="1005"/>
      <c r="G23" s="1005"/>
      <c r="H23" s="1005"/>
      <c r="I23" s="1006"/>
      <c r="J23" s="32" t="s">
        <v>589</v>
      </c>
      <c r="K23" s="173">
        <v>1280700</v>
      </c>
      <c r="L23" s="174">
        <v>992700</v>
      </c>
    </row>
    <row r="24" spans="1:12" ht="12.75" customHeight="1">
      <c r="A24" s="4"/>
      <c r="B24" s="998"/>
      <c r="C24" s="1109" t="s">
        <v>92</v>
      </c>
      <c r="D24" s="1109"/>
      <c r="E24" s="1109"/>
      <c r="F24" s="1109"/>
      <c r="G24" s="1109"/>
      <c r="H24" s="1109"/>
      <c r="I24" s="1110"/>
      <c r="J24" s="41" t="s">
        <v>1794</v>
      </c>
      <c r="K24" s="171">
        <v>1200000</v>
      </c>
      <c r="L24" s="172">
        <v>1050000</v>
      </c>
    </row>
    <row r="25" spans="1:12" ht="12.75" customHeight="1">
      <c r="A25" s="4"/>
      <c r="B25" s="998"/>
      <c r="C25" s="1005" t="s">
        <v>93</v>
      </c>
      <c r="D25" s="1005"/>
      <c r="E25" s="1005"/>
      <c r="F25" s="1005"/>
      <c r="G25" s="1005"/>
      <c r="H25" s="1005"/>
      <c r="I25" s="1006"/>
      <c r="J25" s="32" t="s">
        <v>1795</v>
      </c>
      <c r="K25" s="173"/>
      <c r="L25" s="174"/>
    </row>
    <row r="26" spans="1:12" ht="12.75" customHeight="1">
      <c r="A26" s="4"/>
      <c r="B26" s="998"/>
      <c r="C26" s="1005" t="s">
        <v>94</v>
      </c>
      <c r="D26" s="1005"/>
      <c r="E26" s="1005"/>
      <c r="F26" s="1005"/>
      <c r="G26" s="1005"/>
      <c r="H26" s="1005"/>
      <c r="I26" s="1006"/>
      <c r="J26" s="32" t="s">
        <v>1796</v>
      </c>
      <c r="K26" s="173">
        <v>199000</v>
      </c>
      <c r="L26" s="174"/>
    </row>
    <row r="27" spans="1:12" ht="12.75" customHeight="1" thickBot="1">
      <c r="A27" s="4"/>
      <c r="B27" s="998"/>
      <c r="C27" s="1169" t="s">
        <v>95</v>
      </c>
      <c r="D27" s="1169"/>
      <c r="E27" s="1169"/>
      <c r="F27" s="1169"/>
      <c r="G27" s="1169"/>
      <c r="H27" s="1169"/>
      <c r="I27" s="1170"/>
      <c r="J27" s="44" t="s">
        <v>1797</v>
      </c>
      <c r="K27" s="175">
        <v>45000</v>
      </c>
      <c r="L27" s="176"/>
    </row>
    <row r="28" spans="1:12" ht="12.75" customHeight="1">
      <c r="A28" s="4"/>
      <c r="B28" s="998"/>
      <c r="C28" s="1167" t="s">
        <v>96</v>
      </c>
      <c r="D28" s="1167"/>
      <c r="E28" s="1167"/>
      <c r="F28" s="1167"/>
      <c r="G28" s="1167"/>
      <c r="H28" s="1167"/>
      <c r="I28" s="1168"/>
      <c r="J28" s="137" t="s">
        <v>1798</v>
      </c>
      <c r="K28" s="183"/>
      <c r="L28" s="184"/>
    </row>
    <row r="29" spans="1:12" ht="12.75" customHeight="1" thickBot="1">
      <c r="A29" s="4"/>
      <c r="B29" s="1047"/>
      <c r="C29" s="1162" t="s">
        <v>1238</v>
      </c>
      <c r="D29" s="1163"/>
      <c r="E29" s="1163"/>
      <c r="F29" s="1163"/>
      <c r="G29" s="1163"/>
      <c r="H29" s="1163"/>
      <c r="I29" s="447" t="s">
        <v>1243</v>
      </c>
      <c r="J29" s="139" t="s">
        <v>1799</v>
      </c>
      <c r="K29" s="180">
        <f>K16+K17+K18+K19+K20+K21+K22+K23+K24+K25+K26+K27+K28</f>
        <v>18623700</v>
      </c>
      <c r="L29" s="181">
        <f>L16+L17+L18+L19+L20+L21+L22+L23+L24+L25+L26+L27+L28</f>
        <v>15684500</v>
      </c>
    </row>
    <row r="30" spans="1:12" ht="12.75" customHeight="1" thickBot="1">
      <c r="A30" s="4"/>
      <c r="B30" s="1164" t="s">
        <v>1261</v>
      </c>
      <c r="C30" s="1165"/>
      <c r="D30" s="1165"/>
      <c r="E30" s="1165"/>
      <c r="F30" s="472"/>
      <c r="G30" s="472"/>
      <c r="H30" s="472"/>
      <c r="I30" s="471" t="s">
        <v>1296</v>
      </c>
      <c r="J30" s="641" t="s">
        <v>1800</v>
      </c>
      <c r="K30" s="473">
        <f>K15-K29</f>
        <v>2530300</v>
      </c>
      <c r="L30" s="473">
        <f>L15-L29</f>
        <v>1720000</v>
      </c>
    </row>
    <row r="31" spans="1:12" ht="12.75" customHeight="1">
      <c r="A31" s="4"/>
      <c r="B31" s="1156" t="s">
        <v>97</v>
      </c>
      <c r="C31" s="1112" t="s">
        <v>1292</v>
      </c>
      <c r="D31" s="1112"/>
      <c r="E31" s="1112"/>
      <c r="F31" s="1112"/>
      <c r="G31" s="1112"/>
      <c r="H31" s="1112"/>
      <c r="I31" s="475" t="s">
        <v>1294</v>
      </c>
      <c r="J31" s="41" t="s">
        <v>1801</v>
      </c>
      <c r="K31" s="171"/>
      <c r="L31" s="172"/>
    </row>
    <row r="32" spans="1:12" ht="12.75" customHeight="1" thickBot="1">
      <c r="A32" s="4"/>
      <c r="B32" s="1166"/>
      <c r="C32" s="1238" t="s">
        <v>1293</v>
      </c>
      <c r="D32" s="1238"/>
      <c r="E32" s="1238"/>
      <c r="F32" s="1238"/>
      <c r="G32" s="1238"/>
      <c r="H32" s="1238"/>
      <c r="I32" s="474" t="s">
        <v>1295</v>
      </c>
      <c r="J32" s="44" t="s">
        <v>1802</v>
      </c>
      <c r="K32" s="175"/>
      <c r="L32" s="176"/>
    </row>
    <row r="33" spans="1:12" ht="12.75" customHeight="1">
      <c r="A33" s="4"/>
      <c r="B33" s="1229" t="s">
        <v>98</v>
      </c>
      <c r="C33" s="1167" t="s">
        <v>99</v>
      </c>
      <c r="D33" s="1167"/>
      <c r="E33" s="1167"/>
      <c r="F33" s="1167"/>
      <c r="G33" s="1167"/>
      <c r="H33" s="1167"/>
      <c r="I33" s="1168"/>
      <c r="J33" s="137" t="s">
        <v>1803</v>
      </c>
      <c r="K33" s="183"/>
      <c r="L33" s="184"/>
    </row>
    <row r="34" spans="1:12" ht="12.75" customHeight="1">
      <c r="A34" s="4"/>
      <c r="B34" s="998"/>
      <c r="C34" s="1005" t="s">
        <v>100</v>
      </c>
      <c r="D34" s="1005"/>
      <c r="E34" s="1005"/>
      <c r="F34" s="1005"/>
      <c r="G34" s="1005"/>
      <c r="H34" s="1005"/>
      <c r="I34" s="1006"/>
      <c r="J34" s="32" t="s">
        <v>1804</v>
      </c>
      <c r="K34" s="173"/>
      <c r="L34" s="174"/>
    </row>
    <row r="35" spans="1:12" ht="12.75" customHeight="1">
      <c r="A35" s="4"/>
      <c r="B35" s="998"/>
      <c r="C35" s="1005" t="s">
        <v>101</v>
      </c>
      <c r="D35" s="1005"/>
      <c r="E35" s="1005"/>
      <c r="F35" s="1005"/>
      <c r="G35" s="1005"/>
      <c r="H35" s="1005"/>
      <c r="I35" s="1006"/>
      <c r="J35" s="32" t="s">
        <v>1805</v>
      </c>
      <c r="K35" s="173"/>
      <c r="L35" s="174"/>
    </row>
    <row r="36" spans="1:12" ht="12.75" customHeight="1">
      <c r="A36" s="4"/>
      <c r="B36" s="998"/>
      <c r="C36" s="1111" t="s">
        <v>1309</v>
      </c>
      <c r="D36" s="1005"/>
      <c r="E36" s="1005"/>
      <c r="F36" s="1005"/>
      <c r="G36" s="1005"/>
      <c r="H36" s="1005"/>
      <c r="I36" s="1006"/>
      <c r="J36" s="32" t="s">
        <v>1806</v>
      </c>
      <c r="K36" s="173"/>
      <c r="L36" s="174"/>
    </row>
    <row r="37" spans="1:12" ht="12.75" customHeight="1">
      <c r="A37" s="4"/>
      <c r="B37" s="998"/>
      <c r="C37" s="1005" t="s">
        <v>103</v>
      </c>
      <c r="D37" s="1005"/>
      <c r="E37" s="1005"/>
      <c r="F37" s="1005"/>
      <c r="G37" s="1005"/>
      <c r="H37" s="1005"/>
      <c r="I37" s="1006"/>
      <c r="J37" s="32" t="s">
        <v>1807</v>
      </c>
      <c r="K37" s="173"/>
      <c r="L37" s="174"/>
    </row>
    <row r="38" spans="1:12" ht="12.75" customHeight="1">
      <c r="A38" s="4"/>
      <c r="B38" s="998"/>
      <c r="C38" s="1005" t="s">
        <v>104</v>
      </c>
      <c r="D38" s="1005"/>
      <c r="E38" s="1005"/>
      <c r="F38" s="1005"/>
      <c r="G38" s="1005"/>
      <c r="H38" s="1005"/>
      <c r="I38" s="1006"/>
      <c r="J38" s="32" t="s">
        <v>1808</v>
      </c>
      <c r="K38" s="173"/>
      <c r="L38" s="174"/>
    </row>
    <row r="39" spans="1:12" ht="12.75" customHeight="1" thickBot="1">
      <c r="A39" s="4"/>
      <c r="B39" s="1047"/>
      <c r="C39" s="1163" t="s">
        <v>1234</v>
      </c>
      <c r="D39" s="1163"/>
      <c r="E39" s="1163"/>
      <c r="F39" s="1163"/>
      <c r="G39" s="1163"/>
      <c r="H39" s="1163"/>
      <c r="I39" s="447" t="s">
        <v>1230</v>
      </c>
      <c r="J39" s="139" t="s">
        <v>1809</v>
      </c>
      <c r="K39" s="180">
        <f>K33+K34+K35+K36+K37+K38</f>
        <v>0</v>
      </c>
      <c r="L39" s="181">
        <f>L33+L34+L35+L36+L37+L38</f>
        <v>0</v>
      </c>
    </row>
    <row r="40" spans="1:12" ht="12.75" customHeight="1">
      <c r="A40" s="4"/>
      <c r="B40" s="1225" t="s">
        <v>105</v>
      </c>
      <c r="C40" s="1109" t="s">
        <v>2045</v>
      </c>
      <c r="D40" s="1109"/>
      <c r="E40" s="1109"/>
      <c r="F40" s="1109"/>
      <c r="G40" s="1109"/>
      <c r="H40" s="1109"/>
      <c r="I40" s="1110"/>
      <c r="J40" s="41" t="s">
        <v>1810</v>
      </c>
      <c r="K40" s="171"/>
      <c r="L40" s="172"/>
    </row>
    <row r="41" spans="1:12" ht="12.75" customHeight="1">
      <c r="A41" s="4"/>
      <c r="B41" s="998"/>
      <c r="C41" s="1005" t="s">
        <v>106</v>
      </c>
      <c r="D41" s="1005"/>
      <c r="E41" s="1005"/>
      <c r="F41" s="1005"/>
      <c r="G41" s="1005"/>
      <c r="H41" s="1005"/>
      <c r="I41" s="1006"/>
      <c r="J41" s="32" t="s">
        <v>1811</v>
      </c>
      <c r="K41" s="173">
        <v>315000</v>
      </c>
      <c r="L41" s="174">
        <v>239000</v>
      </c>
    </row>
    <row r="42" spans="1:12" ht="12.75" customHeight="1">
      <c r="A42" s="4"/>
      <c r="B42" s="998"/>
      <c r="C42" s="1005" t="s">
        <v>108</v>
      </c>
      <c r="D42" s="1005"/>
      <c r="E42" s="1005"/>
      <c r="F42" s="1005"/>
      <c r="G42" s="1005"/>
      <c r="H42" s="1005"/>
      <c r="I42" s="1006"/>
      <c r="J42" s="32" t="s">
        <v>1812</v>
      </c>
      <c r="K42" s="173"/>
      <c r="L42" s="174"/>
    </row>
    <row r="43" spans="1:12" ht="12.75" customHeight="1">
      <c r="A43" s="4"/>
      <c r="B43" s="998"/>
      <c r="C43" s="1005" t="s">
        <v>109</v>
      </c>
      <c r="D43" s="1005"/>
      <c r="E43" s="1005"/>
      <c r="F43" s="1005"/>
      <c r="G43" s="1005"/>
      <c r="H43" s="1005"/>
      <c r="I43" s="1006"/>
      <c r="J43" s="32" t="s">
        <v>1813</v>
      </c>
      <c r="K43" s="173"/>
      <c r="L43" s="174"/>
    </row>
    <row r="44" spans="1:12" ht="12.75" customHeight="1" thickBot="1">
      <c r="A44" s="4"/>
      <c r="B44" s="1047"/>
      <c r="C44" s="1163" t="s">
        <v>1235</v>
      </c>
      <c r="D44" s="1163"/>
      <c r="E44" s="1163"/>
      <c r="F44" s="1163"/>
      <c r="G44" s="1163"/>
      <c r="H44" s="1163"/>
      <c r="I44" s="447" t="s">
        <v>1244</v>
      </c>
      <c r="J44" s="139" t="s">
        <v>1814</v>
      </c>
      <c r="K44" s="180">
        <f>K40+K41+K42+K43</f>
        <v>315000</v>
      </c>
      <c r="L44" s="180">
        <f>L40+L41+L42+L43</f>
        <v>239000</v>
      </c>
    </row>
    <row r="45" spans="1:12" ht="12.75" customHeight="1" thickBot="1">
      <c r="A45" s="4"/>
      <c r="B45" s="1186" t="s">
        <v>1236</v>
      </c>
      <c r="C45" s="1187"/>
      <c r="D45" s="1187"/>
      <c r="E45" s="1187"/>
      <c r="F45" s="1187"/>
      <c r="G45" s="1187"/>
      <c r="H45" s="1187"/>
      <c r="I45" s="450" t="s">
        <v>1245</v>
      </c>
      <c r="J45" s="512" t="s">
        <v>1815</v>
      </c>
      <c r="K45" s="442">
        <f>K39-K44</f>
        <v>-315000</v>
      </c>
      <c r="L45" s="442">
        <f>L39-L44</f>
        <v>-239000</v>
      </c>
    </row>
    <row r="46" spans="1:12" ht="12.75" customHeight="1" thickBot="1">
      <c r="A46" s="4"/>
      <c r="B46" s="1186" t="s">
        <v>1237</v>
      </c>
      <c r="C46" s="1187"/>
      <c r="D46" s="1187"/>
      <c r="E46" s="1187"/>
      <c r="F46" s="1187"/>
      <c r="G46" s="1187"/>
      <c r="H46" s="1187"/>
      <c r="I46" s="450" t="s">
        <v>1246</v>
      </c>
      <c r="J46" s="512" t="s">
        <v>1816</v>
      </c>
      <c r="K46" s="442">
        <f>K30+K31-K32+K45</f>
        <v>2215300</v>
      </c>
      <c r="L46" s="442">
        <f>L30+L31-L32+L45</f>
        <v>1481000</v>
      </c>
    </row>
    <row r="47" spans="1:12" ht="12.75" customHeight="1">
      <c r="A47" s="4"/>
      <c r="B47" s="1156" t="s">
        <v>110</v>
      </c>
      <c r="C47" s="1109" t="s">
        <v>111</v>
      </c>
      <c r="D47" s="1109"/>
      <c r="E47" s="1109"/>
      <c r="F47" s="1109"/>
      <c r="G47" s="1109"/>
      <c r="H47" s="1109"/>
      <c r="I47" s="1110"/>
      <c r="J47" s="41" t="s">
        <v>1817</v>
      </c>
      <c r="K47" s="171">
        <v>30000</v>
      </c>
      <c r="L47" s="172"/>
    </row>
    <row r="48" spans="1:12" ht="12.75" customHeight="1">
      <c r="A48" s="4"/>
      <c r="B48" s="1157"/>
      <c r="C48" s="1111" t="s">
        <v>112</v>
      </c>
      <c r="D48" s="1005"/>
      <c r="E48" s="1005"/>
      <c r="F48" s="1005"/>
      <c r="G48" s="1005"/>
      <c r="H48" s="1005"/>
      <c r="I48" s="1006"/>
      <c r="J48" s="32" t="s">
        <v>1818</v>
      </c>
      <c r="K48" s="173">
        <v>425000</v>
      </c>
      <c r="L48" s="174"/>
    </row>
    <row r="49" spans="1:13" ht="12.75" customHeight="1">
      <c r="A49" s="4"/>
      <c r="B49" s="1157"/>
      <c r="C49" s="1005" t="s">
        <v>113</v>
      </c>
      <c r="D49" s="1005"/>
      <c r="E49" s="1005"/>
      <c r="F49" s="1005"/>
      <c r="G49" s="1005"/>
      <c r="H49" s="1005"/>
      <c r="I49" s="1006"/>
      <c r="J49" s="32" t="s">
        <v>1819</v>
      </c>
      <c r="K49" s="173"/>
      <c r="L49" s="174"/>
    </row>
    <row r="50" spans="1:13" ht="12.75" customHeight="1" thickBot="1">
      <c r="A50" s="4"/>
      <c r="B50" s="1230"/>
      <c r="C50" s="1162" t="s">
        <v>1262</v>
      </c>
      <c r="D50" s="1163"/>
      <c r="E50" s="1163"/>
      <c r="F50" s="1163"/>
      <c r="G50" s="1163"/>
      <c r="H50" s="449"/>
      <c r="I50" s="447" t="s">
        <v>1263</v>
      </c>
      <c r="J50" s="139" t="s">
        <v>1820</v>
      </c>
      <c r="K50" s="180">
        <f>K47+K48+K49</f>
        <v>455000</v>
      </c>
      <c r="L50" s="180">
        <f>L47+L48+L49</f>
        <v>0</v>
      </c>
    </row>
    <row r="51" spans="1:13" ht="12.75" customHeight="1">
      <c r="A51" s="4"/>
      <c r="B51" s="1156" t="s">
        <v>114</v>
      </c>
      <c r="C51" s="1109" t="s">
        <v>115</v>
      </c>
      <c r="D51" s="1109"/>
      <c r="E51" s="1109"/>
      <c r="F51" s="1109"/>
      <c r="G51" s="1109"/>
      <c r="H51" s="1109"/>
      <c r="I51" s="1110"/>
      <c r="J51" s="41" t="s">
        <v>1821</v>
      </c>
      <c r="K51" s="171"/>
      <c r="L51" s="172">
        <v>20800</v>
      </c>
    </row>
    <row r="52" spans="1:13" ht="12.75" customHeight="1">
      <c r="A52" s="4"/>
      <c r="B52" s="1157"/>
      <c r="C52" s="1005" t="s">
        <v>116</v>
      </c>
      <c r="D52" s="1005"/>
      <c r="E52" s="1005"/>
      <c r="F52" s="1005"/>
      <c r="G52" s="1005"/>
      <c r="H52" s="1005"/>
      <c r="I52" s="1006"/>
      <c r="J52" s="32" t="s">
        <v>1822</v>
      </c>
      <c r="K52" s="173">
        <v>390000</v>
      </c>
      <c r="L52" s="174"/>
    </row>
    <row r="53" spans="1:13" ht="12.75" customHeight="1">
      <c r="A53" s="4"/>
      <c r="B53" s="1157"/>
      <c r="C53" s="1111" t="s">
        <v>2046</v>
      </c>
      <c r="D53" s="1005"/>
      <c r="E53" s="1005"/>
      <c r="F53" s="1005"/>
      <c r="G53" s="1005"/>
      <c r="H53" s="1005"/>
      <c r="I53" s="1006"/>
      <c r="J53" s="32" t="s">
        <v>1823</v>
      </c>
      <c r="K53" s="173"/>
      <c r="L53" s="174"/>
    </row>
    <row r="54" spans="1:13" ht="12.75" customHeight="1" thickBot="1">
      <c r="A54" s="4"/>
      <c r="B54" s="1230"/>
      <c r="C54" s="1162" t="s">
        <v>1264</v>
      </c>
      <c r="D54" s="1163"/>
      <c r="E54" s="1163"/>
      <c r="F54" s="1163"/>
      <c r="G54" s="1163"/>
      <c r="H54" s="449"/>
      <c r="I54" s="447" t="s">
        <v>1267</v>
      </c>
      <c r="J54" s="139" t="s">
        <v>1824</v>
      </c>
      <c r="K54" s="180">
        <f>K51+K52+K53</f>
        <v>390000</v>
      </c>
      <c r="L54" s="181">
        <f>L51+L52+L53</f>
        <v>20800</v>
      </c>
    </row>
    <row r="55" spans="1:13" ht="12.75" customHeight="1" thickBot="1">
      <c r="A55" s="4"/>
      <c r="B55" s="1186" t="s">
        <v>1265</v>
      </c>
      <c r="C55" s="1187"/>
      <c r="D55" s="1187"/>
      <c r="E55" s="1187"/>
      <c r="F55" s="446"/>
      <c r="G55" s="446"/>
      <c r="H55" s="446"/>
      <c r="I55" s="450" t="s">
        <v>1266</v>
      </c>
      <c r="J55" s="512" t="s">
        <v>1825</v>
      </c>
      <c r="K55" s="442">
        <f>K50-K54</f>
        <v>65000</v>
      </c>
      <c r="L55" s="442">
        <f>L50-L54</f>
        <v>-20800</v>
      </c>
    </row>
    <row r="56" spans="1:13" ht="12.75" customHeight="1">
      <c r="A56" s="4"/>
      <c r="B56" s="1233" t="s">
        <v>1240</v>
      </c>
      <c r="C56" s="1234"/>
      <c r="D56" s="1234"/>
      <c r="E56" s="1234"/>
      <c r="F56" s="1234"/>
      <c r="G56" s="1234"/>
      <c r="H56" s="1234"/>
      <c r="I56" s="451" t="s">
        <v>1247</v>
      </c>
      <c r="J56" s="137" t="s">
        <v>1826</v>
      </c>
      <c r="K56" s="183"/>
      <c r="L56" s="184"/>
    </row>
    <row r="57" spans="1:13" ht="12.75" customHeight="1">
      <c r="A57" s="4"/>
      <c r="B57" s="1235" t="s">
        <v>1241</v>
      </c>
      <c r="C57" s="1236"/>
      <c r="D57" s="1236"/>
      <c r="E57" s="1236"/>
      <c r="F57" s="1236"/>
      <c r="G57" s="1236"/>
      <c r="H57" s="1236"/>
      <c r="I57" s="452" t="s">
        <v>1248</v>
      </c>
      <c r="J57" s="32" t="s">
        <v>1827</v>
      </c>
      <c r="K57" s="974">
        <v>760025</v>
      </c>
      <c r="L57" s="174">
        <v>5000</v>
      </c>
      <c r="M57" s="906" t="s">
        <v>2047</v>
      </c>
    </row>
    <row r="58" spans="1:13" ht="12.75" customHeight="1">
      <c r="A58" s="4"/>
      <c r="B58" s="1207" t="s">
        <v>1268</v>
      </c>
      <c r="C58" s="1208"/>
      <c r="D58" s="1208"/>
      <c r="E58" s="1209"/>
      <c r="F58" s="1209"/>
      <c r="G58" s="1209"/>
      <c r="H58" s="1209"/>
      <c r="I58" s="1209"/>
      <c r="J58" s="132" t="s">
        <v>1828</v>
      </c>
      <c r="K58" s="179">
        <f>K15+K31+K39+K50</f>
        <v>21609000</v>
      </c>
      <c r="L58" s="179">
        <f>L15+L31+L39+L50</f>
        <v>17404500</v>
      </c>
    </row>
    <row r="59" spans="1:13" ht="12.75" customHeight="1" thickBot="1">
      <c r="A59" s="4"/>
      <c r="B59" s="1226" t="s">
        <v>1269</v>
      </c>
      <c r="C59" s="1227"/>
      <c r="D59" s="1227"/>
      <c r="E59" s="1228"/>
      <c r="F59" s="1228"/>
      <c r="G59" s="1228"/>
      <c r="H59" s="1228"/>
      <c r="I59" s="1228"/>
      <c r="J59" s="141" t="s">
        <v>1829</v>
      </c>
      <c r="K59" s="182">
        <f>K29+K32+K44+K54+K56+K57</f>
        <v>20088725</v>
      </c>
      <c r="L59" s="182">
        <f>L29+L32+L44+L54+L56+L57</f>
        <v>15949300</v>
      </c>
    </row>
    <row r="60" spans="1:13" s="55" customFormat="1" ht="18.75" customHeight="1" thickBot="1">
      <c r="A60" s="4"/>
      <c r="B60" s="1222" t="s">
        <v>843</v>
      </c>
      <c r="C60" s="1223"/>
      <c r="D60" s="1223"/>
      <c r="E60" s="1224"/>
      <c r="F60" s="1224"/>
      <c r="G60" s="1224"/>
      <c r="H60" s="1224"/>
      <c r="I60" s="1224"/>
      <c r="J60" s="641" t="s">
        <v>1830</v>
      </c>
      <c r="K60" s="460">
        <f>K58-K59</f>
        <v>1520275</v>
      </c>
      <c r="L60" s="460">
        <f>L58-L59</f>
        <v>1455200</v>
      </c>
    </row>
    <row r="61" spans="1:13" ht="12.75" customHeight="1">
      <c r="A61" s="4"/>
      <c r="B61" s="1205" t="s">
        <v>117</v>
      </c>
      <c r="C61" s="453" t="s">
        <v>1159</v>
      </c>
      <c r="D61" s="1213" t="s">
        <v>1284</v>
      </c>
      <c r="E61" s="1214"/>
      <c r="F61" s="1214"/>
      <c r="G61" s="1214"/>
      <c r="H61" s="1214"/>
      <c r="I61" s="1215"/>
      <c r="J61" s="41" t="s">
        <v>1831</v>
      </c>
      <c r="K61" s="171"/>
      <c r="L61" s="172"/>
    </row>
    <row r="62" spans="1:13" s="55" customFormat="1" ht="12.75" customHeight="1">
      <c r="A62" s="4"/>
      <c r="B62" s="1206"/>
      <c r="C62" s="1204" t="s">
        <v>1165</v>
      </c>
      <c r="D62" s="1202" t="s">
        <v>1249</v>
      </c>
      <c r="E62" s="1183" t="s">
        <v>1250</v>
      </c>
      <c r="F62" s="1184"/>
      <c r="G62" s="1184"/>
      <c r="H62" s="1184"/>
      <c r="I62" s="1185"/>
      <c r="J62" s="32" t="s">
        <v>1832</v>
      </c>
      <c r="K62" s="173"/>
      <c r="L62" s="174"/>
    </row>
    <row r="63" spans="1:13" s="55" customFormat="1" ht="12.75" customHeight="1">
      <c r="A63" s="4"/>
      <c r="B63" s="1206"/>
      <c r="C63" s="1204"/>
      <c r="D63" s="1203"/>
      <c r="E63" s="1183" t="s">
        <v>1251</v>
      </c>
      <c r="F63" s="1184"/>
      <c r="G63" s="1184"/>
      <c r="H63" s="1184"/>
      <c r="I63" s="1185"/>
      <c r="J63" s="32" t="s">
        <v>1833</v>
      </c>
      <c r="K63" s="173"/>
      <c r="L63" s="174"/>
    </row>
    <row r="64" spans="1:13" s="55" customFormat="1" ht="12.75" customHeight="1">
      <c r="A64" s="4"/>
      <c r="B64" s="1206"/>
      <c r="C64" s="1204" t="s">
        <v>1252</v>
      </c>
      <c r="D64" s="1202" t="s">
        <v>1249</v>
      </c>
      <c r="E64" s="1183" t="s">
        <v>1254</v>
      </c>
      <c r="F64" s="1184"/>
      <c r="G64" s="1184"/>
      <c r="H64" s="1184"/>
      <c r="I64" s="1185"/>
      <c r="J64" s="32" t="s">
        <v>1834</v>
      </c>
      <c r="K64" s="509"/>
      <c r="L64" s="174"/>
    </row>
    <row r="65" spans="1:12" s="55" customFormat="1" ht="12.75" customHeight="1">
      <c r="A65" s="4"/>
      <c r="B65" s="1206"/>
      <c r="C65" s="1204"/>
      <c r="D65" s="1203"/>
      <c r="E65" s="1183" t="s">
        <v>1253</v>
      </c>
      <c r="F65" s="1184"/>
      <c r="G65" s="1184"/>
      <c r="H65" s="1184"/>
      <c r="I65" s="1185"/>
      <c r="J65" s="32" t="s">
        <v>1835</v>
      </c>
      <c r="K65" s="173"/>
      <c r="L65" s="174"/>
    </row>
    <row r="66" spans="1:12" s="55" customFormat="1" ht="12.75" customHeight="1">
      <c r="A66" s="4"/>
      <c r="B66" s="1206"/>
      <c r="C66" s="454" t="s">
        <v>1255</v>
      </c>
      <c r="D66" s="1199" t="s">
        <v>1256</v>
      </c>
      <c r="E66" s="1200"/>
      <c r="F66" s="1200"/>
      <c r="G66" s="1200"/>
      <c r="H66" s="1200"/>
      <c r="I66" s="1201"/>
      <c r="J66" s="32" t="s">
        <v>1836</v>
      </c>
      <c r="K66" s="173"/>
      <c r="L66" s="174"/>
    </row>
    <row r="67" spans="1:12" s="55" customFormat="1" ht="12.75" customHeight="1">
      <c r="A67" s="4"/>
      <c r="B67" s="1206"/>
      <c r="C67" s="454" t="s">
        <v>1257</v>
      </c>
      <c r="D67" s="1199" t="s">
        <v>1285</v>
      </c>
      <c r="E67" s="1200"/>
      <c r="F67" s="1200"/>
      <c r="G67" s="1200"/>
      <c r="H67" s="1200"/>
      <c r="I67" s="1201"/>
      <c r="J67" s="114" t="s">
        <v>1837</v>
      </c>
      <c r="K67" s="173"/>
      <c r="L67" s="174"/>
    </row>
    <row r="68" spans="1:12" s="55" customFormat="1" ht="12.75" customHeight="1">
      <c r="A68" s="4"/>
      <c r="B68" s="1206"/>
      <c r="C68" s="454" t="s">
        <v>1258</v>
      </c>
      <c r="D68" s="1199" t="s">
        <v>1286</v>
      </c>
      <c r="E68" s="1200"/>
      <c r="F68" s="1200"/>
      <c r="G68" s="1200"/>
      <c r="H68" s="1200"/>
      <c r="I68" s="1201"/>
      <c r="J68" s="114" t="s">
        <v>1838</v>
      </c>
      <c r="K68" s="173"/>
      <c r="L68" s="174"/>
    </row>
    <row r="69" spans="1:12" s="55" customFormat="1" ht="12.75" customHeight="1">
      <c r="A69" s="4"/>
      <c r="B69" s="1206"/>
      <c r="C69" s="454" t="s">
        <v>1259</v>
      </c>
      <c r="D69" s="1199" t="s">
        <v>1287</v>
      </c>
      <c r="E69" s="1200"/>
      <c r="F69" s="1200"/>
      <c r="G69" s="1200"/>
      <c r="H69" s="1200"/>
      <c r="I69" s="1201"/>
      <c r="J69" s="114" t="s">
        <v>1839</v>
      </c>
      <c r="K69" s="173"/>
      <c r="L69" s="174"/>
    </row>
    <row r="70" spans="1:12" s="55" customFormat="1" ht="12.75" customHeight="1">
      <c r="A70" s="4"/>
      <c r="B70" s="1206"/>
      <c r="C70" s="454" t="s">
        <v>1270</v>
      </c>
      <c r="D70" s="1199" t="s">
        <v>1288</v>
      </c>
      <c r="E70" s="1200"/>
      <c r="F70" s="1200"/>
      <c r="G70" s="1200"/>
      <c r="H70" s="1200"/>
      <c r="I70" s="1201"/>
      <c r="J70" s="114" t="s">
        <v>1840</v>
      </c>
      <c r="K70" s="173"/>
      <c r="L70" s="174"/>
    </row>
    <row r="71" spans="1:12" s="55" customFormat="1" ht="28.5" customHeight="1">
      <c r="A71" s="4"/>
      <c r="B71" s="1206"/>
      <c r="C71" s="454" t="s">
        <v>1271</v>
      </c>
      <c r="D71" s="1216" t="s">
        <v>1289</v>
      </c>
      <c r="E71" s="1217"/>
      <c r="F71" s="1217"/>
      <c r="G71" s="1217"/>
      <c r="H71" s="1217"/>
      <c r="I71" s="1218"/>
      <c r="J71" s="114" t="s">
        <v>1841</v>
      </c>
      <c r="K71" s="160"/>
      <c r="L71" s="457"/>
    </row>
    <row r="72" spans="1:12" s="55" customFormat="1" ht="12.75" customHeight="1">
      <c r="A72" s="4"/>
      <c r="B72" s="1206"/>
      <c r="C72" s="454" t="s">
        <v>1272</v>
      </c>
      <c r="D72" s="1199" t="s">
        <v>1290</v>
      </c>
      <c r="E72" s="1200"/>
      <c r="F72" s="1200"/>
      <c r="G72" s="1200"/>
      <c r="H72" s="1200"/>
      <c r="I72" s="1201"/>
      <c r="J72" s="114" t="s">
        <v>1842</v>
      </c>
      <c r="K72" s="173"/>
      <c r="L72" s="174"/>
    </row>
    <row r="73" spans="1:12" s="55" customFormat="1" ht="12.75" customHeight="1">
      <c r="A73" s="4"/>
      <c r="B73" s="1206"/>
      <c r="C73" s="454" t="s">
        <v>1273</v>
      </c>
      <c r="D73" s="1199" t="s">
        <v>1291</v>
      </c>
      <c r="E73" s="1200"/>
      <c r="F73" s="1200"/>
      <c r="G73" s="1200"/>
      <c r="H73" s="1200"/>
      <c r="I73" s="1201"/>
      <c r="J73" s="114" t="s">
        <v>1843</v>
      </c>
      <c r="K73" s="173"/>
      <c r="L73" s="174"/>
    </row>
    <row r="74" spans="1:12" s="55" customFormat="1" ht="12.75" customHeight="1">
      <c r="A74" s="4"/>
      <c r="B74" s="1206"/>
      <c r="C74" s="1190" t="s">
        <v>1274</v>
      </c>
      <c r="D74" s="1193" t="s">
        <v>1278</v>
      </c>
      <c r="E74" s="1194"/>
      <c r="F74" s="1194"/>
      <c r="G74" s="1194"/>
      <c r="H74" s="1194"/>
      <c r="I74" s="1195"/>
      <c r="J74" s="154"/>
      <c r="K74" s="1188" t="s">
        <v>1276</v>
      </c>
      <c r="L74" s="1189"/>
    </row>
    <row r="75" spans="1:12" s="55" customFormat="1" ht="30" customHeight="1">
      <c r="A75" s="4"/>
      <c r="B75" s="1206"/>
      <c r="C75" s="1191"/>
      <c r="D75" s="1196"/>
      <c r="E75" s="1197"/>
      <c r="F75" s="1197"/>
      <c r="G75" s="1197"/>
      <c r="H75" s="1197"/>
      <c r="I75" s="1198"/>
      <c r="J75" s="154"/>
      <c r="K75" s="455" t="s">
        <v>1279</v>
      </c>
      <c r="L75" s="456" t="s">
        <v>656</v>
      </c>
    </row>
    <row r="76" spans="1:12" s="55" customFormat="1" ht="12.75" customHeight="1">
      <c r="A76" s="4"/>
      <c r="B76" s="1206"/>
      <c r="C76" s="1191"/>
      <c r="D76" s="448"/>
      <c r="E76" s="1199" t="s">
        <v>192</v>
      </c>
      <c r="F76" s="1200"/>
      <c r="G76" s="1200"/>
      <c r="H76" s="1200"/>
      <c r="I76" s="1201"/>
      <c r="J76" s="38"/>
      <c r="K76" s="458"/>
      <c r="L76" s="174"/>
    </row>
    <row r="77" spans="1:12" s="55" customFormat="1" ht="12.75" customHeight="1">
      <c r="A77" s="4"/>
      <c r="B77" s="1206"/>
      <c r="C77" s="1191"/>
      <c r="D77" s="448"/>
      <c r="E77" s="1199" t="s">
        <v>1277</v>
      </c>
      <c r="F77" s="1200"/>
      <c r="G77" s="1200"/>
      <c r="H77" s="1200"/>
      <c r="I77" s="1201"/>
      <c r="J77" s="38"/>
      <c r="K77" s="173"/>
      <c r="L77" s="459"/>
    </row>
    <row r="78" spans="1:12" s="55" customFormat="1" ht="12.75" customHeight="1">
      <c r="A78" s="4"/>
      <c r="B78" s="1206"/>
      <c r="C78" s="1192"/>
      <c r="D78" s="448"/>
      <c r="E78" s="1199" t="s">
        <v>1280</v>
      </c>
      <c r="F78" s="1200"/>
      <c r="G78" s="1200"/>
      <c r="H78" s="1200"/>
      <c r="I78" s="1201"/>
      <c r="J78" s="38"/>
      <c r="K78" s="458"/>
      <c r="L78" s="174"/>
    </row>
    <row r="79" spans="1:12" s="55" customFormat="1" ht="12.75" customHeight="1">
      <c r="A79" s="4"/>
      <c r="B79" s="1206"/>
      <c r="C79" s="1190" t="s">
        <v>1275</v>
      </c>
      <c r="D79" s="1193" t="s">
        <v>1281</v>
      </c>
      <c r="E79" s="1194"/>
      <c r="F79" s="1194"/>
      <c r="G79" s="1194"/>
      <c r="H79" s="1194"/>
      <c r="I79" s="1195"/>
      <c r="J79" s="154"/>
      <c r="K79" s="1188" t="s">
        <v>1276</v>
      </c>
      <c r="L79" s="1189"/>
    </row>
    <row r="80" spans="1:12" s="55" customFormat="1" ht="26.4">
      <c r="A80" s="4"/>
      <c r="B80" s="1206"/>
      <c r="C80" s="1192"/>
      <c r="D80" s="1196"/>
      <c r="E80" s="1197"/>
      <c r="F80" s="1197"/>
      <c r="G80" s="1197"/>
      <c r="H80" s="1197"/>
      <c r="I80" s="1198"/>
      <c r="J80" s="38"/>
      <c r="K80" s="455" t="s">
        <v>1282</v>
      </c>
      <c r="L80" s="456" t="s">
        <v>1283</v>
      </c>
    </row>
    <row r="81" spans="1:12" ht="12.75" customHeight="1" thickBot="1">
      <c r="A81" s="4"/>
      <c r="B81" s="1166"/>
      <c r="C81" s="1210"/>
      <c r="D81" s="1211"/>
      <c r="E81" s="1211"/>
      <c r="F81" s="1211"/>
      <c r="G81" s="1211"/>
      <c r="H81" s="1211"/>
      <c r="I81" s="1212"/>
      <c r="J81" s="190"/>
      <c r="K81" s="175"/>
      <c r="L81" s="176"/>
    </row>
  </sheetData>
  <mergeCells count="98">
    <mergeCell ref="B2:L2"/>
    <mergeCell ref="B60:I60"/>
    <mergeCell ref="B40:B44"/>
    <mergeCell ref="B59:I59"/>
    <mergeCell ref="B33:B39"/>
    <mergeCell ref="B51:B54"/>
    <mergeCell ref="B47:B50"/>
    <mergeCell ref="B16:B29"/>
    <mergeCell ref="B6:B15"/>
    <mergeCell ref="L4:L5"/>
    <mergeCell ref="B56:H56"/>
    <mergeCell ref="B57:H57"/>
    <mergeCell ref="B45:H45"/>
    <mergeCell ref="C3:I3"/>
    <mergeCell ref="C24:I24"/>
    <mergeCell ref="C32:H32"/>
    <mergeCell ref="B61:B81"/>
    <mergeCell ref="B58:I58"/>
    <mergeCell ref="B55:E55"/>
    <mergeCell ref="C79:C80"/>
    <mergeCell ref="D79:I80"/>
    <mergeCell ref="C81:I81"/>
    <mergeCell ref="D61:I61"/>
    <mergeCell ref="E62:I62"/>
    <mergeCell ref="D66:I66"/>
    <mergeCell ref="D69:I69"/>
    <mergeCell ref="D70:I70"/>
    <mergeCell ref="C62:C63"/>
    <mergeCell ref="D72:I72"/>
    <mergeCell ref="E65:I65"/>
    <mergeCell ref="D71:I71"/>
    <mergeCell ref="E63:I63"/>
    <mergeCell ref="K79:L79"/>
    <mergeCell ref="C51:I51"/>
    <mergeCell ref="C52:I52"/>
    <mergeCell ref="C53:I53"/>
    <mergeCell ref="C74:C78"/>
    <mergeCell ref="D74:I75"/>
    <mergeCell ref="K74:L74"/>
    <mergeCell ref="E76:I76"/>
    <mergeCell ref="E77:I77"/>
    <mergeCell ref="E78:I78"/>
    <mergeCell ref="D73:I73"/>
    <mergeCell ref="D67:I67"/>
    <mergeCell ref="D68:I68"/>
    <mergeCell ref="D62:D63"/>
    <mergeCell ref="C64:C65"/>
    <mergeCell ref="D64:D65"/>
    <mergeCell ref="E64:I64"/>
    <mergeCell ref="C54:G54"/>
    <mergeCell ref="C34:I34"/>
    <mergeCell ref="C33:I33"/>
    <mergeCell ref="C14:I14"/>
    <mergeCell ref="C20:I20"/>
    <mergeCell ref="C19:I19"/>
    <mergeCell ref="C48:I48"/>
    <mergeCell ref="C35:I35"/>
    <mergeCell ref="C22:I22"/>
    <mergeCell ref="C21:I21"/>
    <mergeCell ref="C23:I23"/>
    <mergeCell ref="C29:H29"/>
    <mergeCell ref="B46:H46"/>
    <mergeCell ref="C44:H44"/>
    <mergeCell ref="C39:H39"/>
    <mergeCell ref="J3:L3"/>
    <mergeCell ref="J5:K5"/>
    <mergeCell ref="F4:K4"/>
    <mergeCell ref="C13:I13"/>
    <mergeCell ref="C18:I18"/>
    <mergeCell ref="C17:I17"/>
    <mergeCell ref="C16:I16"/>
    <mergeCell ref="C15:H15"/>
    <mergeCell ref="C10:I10"/>
    <mergeCell ref="C7:D8"/>
    <mergeCell ref="C6:E6"/>
    <mergeCell ref="C4:E5"/>
    <mergeCell ref="B3:B5"/>
    <mergeCell ref="F5:G5"/>
    <mergeCell ref="H5:I5"/>
    <mergeCell ref="C50:G50"/>
    <mergeCell ref="C47:I47"/>
    <mergeCell ref="C49:I49"/>
    <mergeCell ref="C12:I12"/>
    <mergeCell ref="C11:I11"/>
    <mergeCell ref="C31:H31"/>
    <mergeCell ref="B30:E30"/>
    <mergeCell ref="C25:I25"/>
    <mergeCell ref="B31:B32"/>
    <mergeCell ref="C28:I28"/>
    <mergeCell ref="C27:I27"/>
    <mergeCell ref="C26:I26"/>
    <mergeCell ref="C36:I36"/>
    <mergeCell ref="C41:I41"/>
    <mergeCell ref="C42:I42"/>
    <mergeCell ref="C43:I43"/>
    <mergeCell ref="C37:I37"/>
    <mergeCell ref="C38:I38"/>
    <mergeCell ref="C40:I40"/>
  </mergeCells>
  <hyperlinks>
    <hyperlink ref="A1" location="Sommaire!A1" display="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Feuil6">
    <tabColor theme="3" tint="0.59999389629810485"/>
    <outlinePr summaryBelow="0" summaryRight="0"/>
  </sheetPr>
  <dimension ref="A1:AG30"/>
  <sheetViews>
    <sheetView showGridLines="0" zoomScale="80" zoomScaleNormal="80" workbookViewId="0">
      <pane ySplit="1" topLeftCell="A2" activePane="bottomLeft" state="frozen"/>
      <selection activeCell="A3" sqref="A3"/>
      <selection pane="bottomLeft" activeCell="A3" sqref="A3"/>
    </sheetView>
  </sheetViews>
  <sheetFormatPr baseColWidth="10" defaultColWidth="11.44140625" defaultRowHeight="13.2" outlineLevelCol="1"/>
  <cols>
    <col min="1" max="1" width="2.109375" customWidth="1"/>
    <col min="2" max="2" width="3.44140625" customWidth="1"/>
    <col min="3" max="3" width="6.6640625" customWidth="1"/>
    <col min="4" max="4" width="9" customWidth="1"/>
    <col min="5" max="5" width="40" customWidth="1"/>
    <col min="6" max="6" width="15.88671875" style="55" customWidth="1" collapsed="1"/>
    <col min="7" max="7" width="18.33203125" style="55" hidden="1" customWidth="1" outlineLevel="1"/>
    <col min="8" max="8" width="3.6640625" bestFit="1" customWidth="1"/>
    <col min="9" max="9" width="13.33203125" customWidth="1" collapsed="1"/>
    <col min="10" max="10" width="19" style="55" hidden="1" customWidth="1" outlineLevel="1"/>
    <col min="11" max="11" width="3.88671875" customWidth="1"/>
    <col min="12" max="12" width="13.6640625" customWidth="1" collapsed="1"/>
    <col min="13" max="13" width="15.33203125" style="55" hidden="1" customWidth="1" outlineLevel="1"/>
    <col min="14" max="14" width="3.6640625" bestFit="1" customWidth="1"/>
    <col min="15" max="15" width="13.6640625" customWidth="1" collapsed="1"/>
    <col min="16" max="16" width="15.33203125" style="55" hidden="1" customWidth="1" outlineLevel="1"/>
    <col min="17" max="17" width="3.44140625" bestFit="1" customWidth="1"/>
    <col min="18" max="18" width="13.6640625" customWidth="1" collapsed="1"/>
    <col min="19" max="19" width="15.33203125" style="55" hidden="1" customWidth="1" outlineLevel="1"/>
    <col min="20" max="20" width="3.88671875" customWidth="1"/>
    <col min="21" max="21" width="13.6640625" customWidth="1" collapsed="1"/>
    <col min="22" max="22" width="11.44140625" hidden="1" customWidth="1" outlineLevel="1"/>
    <col min="23" max="23" width="3.88671875" bestFit="1" customWidth="1"/>
    <col min="24" max="24" width="13.6640625" customWidth="1" collapsed="1"/>
    <col min="25" max="25" width="11.44140625" hidden="1" customWidth="1" outlineLevel="1"/>
    <col min="26" max="26" width="3.88671875" bestFit="1" customWidth="1"/>
    <col min="27" max="27" width="11.44140625" collapsed="1"/>
    <col min="28" max="28" width="11.44140625" hidden="1" customWidth="1" outlineLevel="1"/>
    <col min="29" max="29" width="3.88671875" bestFit="1" customWidth="1"/>
    <col min="30" max="30" width="13.6640625" customWidth="1" collapsed="1"/>
    <col min="31" max="31" width="11.44140625" hidden="1" customWidth="1" outlineLevel="1"/>
    <col min="32" max="32" width="6" customWidth="1"/>
  </cols>
  <sheetData>
    <row r="1" spans="1:33" ht="13.8" thickBot="1">
      <c r="A1" s="913" t="s">
        <v>2015</v>
      </c>
      <c r="T1" s="154"/>
      <c r="AF1" s="154"/>
    </row>
    <row r="2" spans="1:33" s="55" customFormat="1" ht="28.8" thickBot="1">
      <c r="B2" s="1267" t="s">
        <v>904</v>
      </c>
      <c r="C2" s="1268"/>
      <c r="D2" s="1268"/>
      <c r="E2" s="1268"/>
      <c r="F2" s="1268"/>
      <c r="G2" s="1268"/>
      <c r="H2" s="1268"/>
      <c r="I2" s="1268"/>
      <c r="J2" s="1268"/>
      <c r="K2" s="1268"/>
      <c r="L2" s="1268"/>
      <c r="M2" s="1268"/>
      <c r="N2" s="1268"/>
      <c r="O2" s="1268"/>
      <c r="P2" s="1268"/>
      <c r="Q2" s="1268"/>
      <c r="R2" s="1268"/>
      <c r="S2" s="1268"/>
      <c r="T2" s="1268"/>
      <c r="U2" s="1268"/>
      <c r="V2" s="1268"/>
      <c r="W2" s="1268"/>
      <c r="X2" s="1268"/>
      <c r="Y2" s="1268"/>
      <c r="Z2" s="1268"/>
      <c r="AA2" s="1268"/>
      <c r="AB2" s="1268"/>
      <c r="AC2" s="1268"/>
      <c r="AD2" s="1268"/>
      <c r="AE2" s="1269"/>
      <c r="AF2" s="211"/>
      <c r="AG2" s="154"/>
    </row>
    <row r="3" spans="1:33" ht="13.8" thickBot="1">
      <c r="S3" s="154"/>
      <c r="T3" s="154"/>
      <c r="U3" s="154"/>
      <c r="AF3" s="154"/>
      <c r="AG3" s="154"/>
    </row>
    <row r="4" spans="1:33" s="55" customFormat="1" ht="26.25" customHeight="1" thickBot="1">
      <c r="J4" s="154"/>
      <c r="K4" s="1270" t="s">
        <v>1207</v>
      </c>
      <c r="L4" s="1271"/>
      <c r="M4" s="1271"/>
      <c r="N4" s="1271"/>
      <c r="O4" s="1271"/>
      <c r="P4" s="1271"/>
      <c r="Q4" s="1271"/>
      <c r="R4" s="1271"/>
      <c r="S4" s="468"/>
      <c r="T4" s="1270" t="s">
        <v>1208</v>
      </c>
      <c r="U4" s="1271"/>
      <c r="V4" s="1271"/>
      <c r="W4" s="1271"/>
      <c r="X4" s="1271"/>
      <c r="Y4" s="1271"/>
      <c r="Z4" s="1271"/>
      <c r="AA4" s="1271"/>
      <c r="AB4" s="1271"/>
      <c r="AC4" s="1271"/>
      <c r="AD4" s="1271"/>
      <c r="AE4" s="1286"/>
      <c r="AF4" s="211"/>
      <c r="AG4" s="154"/>
    </row>
    <row r="5" spans="1:33" ht="34.950000000000003" customHeight="1">
      <c r="B5" s="1272" t="s">
        <v>874</v>
      </c>
      <c r="C5" s="1273"/>
      <c r="D5" s="1273"/>
      <c r="E5" s="1273"/>
      <c r="F5" s="1273"/>
      <c r="G5" s="1273"/>
      <c r="H5" s="1273"/>
      <c r="I5" s="1274"/>
      <c r="J5" s="1288" t="s">
        <v>196</v>
      </c>
      <c r="K5" s="1285" t="s">
        <v>875</v>
      </c>
      <c r="L5" s="1280"/>
      <c r="M5" s="1280"/>
      <c r="N5" s="1279" t="s">
        <v>876</v>
      </c>
      <c r="O5" s="1279"/>
      <c r="P5" s="1279"/>
      <c r="Q5" s="1279"/>
      <c r="R5" s="1279"/>
      <c r="S5" s="1287"/>
      <c r="T5" s="1278" t="s">
        <v>896</v>
      </c>
      <c r="U5" s="1279"/>
      <c r="V5" s="1279"/>
      <c r="W5" s="1279"/>
      <c r="X5" s="1279"/>
      <c r="Y5" s="1279"/>
      <c r="Z5" s="1280" t="s">
        <v>897</v>
      </c>
      <c r="AA5" s="1280"/>
      <c r="AB5" s="1280"/>
      <c r="AC5" s="1280" t="s">
        <v>898</v>
      </c>
      <c r="AD5" s="1280"/>
      <c r="AE5" s="1282"/>
      <c r="AF5" s="211"/>
      <c r="AG5" s="154"/>
    </row>
    <row r="6" spans="1:33" ht="64.95" customHeight="1">
      <c r="B6" s="1275"/>
      <c r="C6" s="1276"/>
      <c r="D6" s="1276"/>
      <c r="E6" s="1276"/>
      <c r="F6" s="1276"/>
      <c r="G6" s="1276"/>
      <c r="H6" s="1276"/>
      <c r="I6" s="1277"/>
      <c r="J6" s="1289"/>
      <c r="K6" s="1283"/>
      <c r="L6" s="1281"/>
      <c r="M6" s="1281"/>
      <c r="N6" s="1281" t="s">
        <v>877</v>
      </c>
      <c r="O6" s="1281"/>
      <c r="P6" s="1281"/>
      <c r="Q6" s="1281" t="s">
        <v>878</v>
      </c>
      <c r="R6" s="1281"/>
      <c r="S6" s="1284"/>
      <c r="T6" s="1283" t="s">
        <v>899</v>
      </c>
      <c r="U6" s="1281"/>
      <c r="V6" s="1281"/>
      <c r="W6" s="1281" t="s">
        <v>900</v>
      </c>
      <c r="X6" s="1281"/>
      <c r="Y6" s="1281"/>
      <c r="Z6" s="1281"/>
      <c r="AA6" s="1281"/>
      <c r="AB6" s="1281"/>
      <c r="AC6" s="1281" t="s">
        <v>901</v>
      </c>
      <c r="AD6" s="1281"/>
      <c r="AE6" s="1284"/>
      <c r="AF6" s="211"/>
      <c r="AG6" s="154"/>
    </row>
    <row r="7" spans="1:33" s="55" customFormat="1" ht="18" customHeight="1" thickBot="1">
      <c r="B7" s="1275"/>
      <c r="C7" s="1276"/>
      <c r="D7" s="1276"/>
      <c r="E7" s="1276"/>
      <c r="F7" s="1276"/>
      <c r="G7" s="1276"/>
      <c r="H7" s="1276"/>
      <c r="I7" s="1277"/>
      <c r="J7" s="1289"/>
      <c r="K7" s="1239">
        <v>1</v>
      </c>
      <c r="L7" s="1240"/>
      <c r="M7" s="243" t="s">
        <v>196</v>
      </c>
      <c r="N7" s="1242">
        <v>2</v>
      </c>
      <c r="O7" s="1240"/>
      <c r="P7" s="243" t="s">
        <v>196</v>
      </c>
      <c r="Q7" s="1242">
        <v>3</v>
      </c>
      <c r="R7" s="1240"/>
      <c r="S7" s="385" t="s">
        <v>196</v>
      </c>
      <c r="T7" s="1290">
        <v>1</v>
      </c>
      <c r="U7" s="1291"/>
      <c r="V7" s="243" t="s">
        <v>196</v>
      </c>
      <c r="W7" s="1241">
        <v>2</v>
      </c>
      <c r="X7" s="1241"/>
      <c r="Y7" s="243" t="s">
        <v>196</v>
      </c>
      <c r="Z7" s="1241">
        <v>3</v>
      </c>
      <c r="AA7" s="1241"/>
      <c r="AB7" s="243" t="s">
        <v>196</v>
      </c>
      <c r="AC7" s="1241">
        <v>4</v>
      </c>
      <c r="AD7" s="1241"/>
      <c r="AE7" s="385" t="s">
        <v>196</v>
      </c>
      <c r="AF7" s="211"/>
      <c r="AG7" s="154"/>
    </row>
    <row r="8" spans="1:33" ht="27" customHeight="1">
      <c r="B8" s="1248" t="s">
        <v>879</v>
      </c>
      <c r="C8" s="1260" t="s">
        <v>1204</v>
      </c>
      <c r="D8" s="1261"/>
      <c r="E8" s="1261"/>
      <c r="F8" s="1261"/>
      <c r="G8" s="1261"/>
      <c r="H8" s="1261"/>
      <c r="I8" s="383" t="s">
        <v>1217</v>
      </c>
      <c r="J8" s="348"/>
      <c r="K8" s="345" t="s">
        <v>1323</v>
      </c>
      <c r="L8" s="213"/>
      <c r="M8" s="305"/>
      <c r="N8" s="242" t="s">
        <v>1343</v>
      </c>
      <c r="O8" s="213"/>
      <c r="P8" s="305"/>
      <c r="Q8" s="242" t="s">
        <v>1363</v>
      </c>
      <c r="R8" s="213"/>
      <c r="S8" s="310"/>
      <c r="T8" s="516" t="s">
        <v>1383</v>
      </c>
      <c r="U8" s="228"/>
      <c r="V8" s="315"/>
      <c r="W8" s="242" t="s">
        <v>1401</v>
      </c>
      <c r="X8" s="228"/>
      <c r="Y8" s="386"/>
      <c r="Z8" s="242" t="s">
        <v>1421</v>
      </c>
      <c r="AA8" s="245">
        <f>L8+O8+R8-U8-X8</f>
        <v>0</v>
      </c>
      <c r="AB8" s="315"/>
      <c r="AC8" s="242" t="s">
        <v>1441</v>
      </c>
      <c r="AD8" s="228"/>
      <c r="AE8" s="387"/>
      <c r="AF8" s="211"/>
      <c r="AG8" s="154"/>
    </row>
    <row r="9" spans="1:33" ht="26.25" customHeight="1" thickBot="1">
      <c r="B9" s="1250"/>
      <c r="C9" s="1262" t="s">
        <v>1205</v>
      </c>
      <c r="D9" s="1263"/>
      <c r="E9" s="1263"/>
      <c r="F9" s="1263"/>
      <c r="G9" s="1263"/>
      <c r="H9" s="1263"/>
      <c r="I9" s="384" t="s">
        <v>1218</v>
      </c>
      <c r="J9" s="349"/>
      <c r="K9" s="344" t="s">
        <v>1324</v>
      </c>
      <c r="L9" s="205"/>
      <c r="M9" s="306"/>
      <c r="N9" s="235" t="s">
        <v>1344</v>
      </c>
      <c r="O9" s="205"/>
      <c r="P9" s="306"/>
      <c r="Q9" s="235" t="s">
        <v>1364</v>
      </c>
      <c r="R9" s="205"/>
      <c r="S9" s="311"/>
      <c r="T9" s="517" t="s">
        <v>1384</v>
      </c>
      <c r="U9" s="246"/>
      <c r="V9" s="308"/>
      <c r="W9" s="235" t="s">
        <v>1402</v>
      </c>
      <c r="X9" s="246"/>
      <c r="Y9" s="238"/>
      <c r="Z9" s="235" t="s">
        <v>1422</v>
      </c>
      <c r="AA9" s="201">
        <f>L9+O9+R9-U9-X9</f>
        <v>0</v>
      </c>
      <c r="AB9" s="308"/>
      <c r="AC9" s="235" t="s">
        <v>1393</v>
      </c>
      <c r="AD9" s="246"/>
      <c r="AE9" s="313"/>
      <c r="AF9" s="211"/>
      <c r="AG9" s="154"/>
    </row>
    <row r="10" spans="1:33" ht="16.5" customHeight="1">
      <c r="B10" s="1248" t="s">
        <v>880</v>
      </c>
      <c r="C10" s="1251" t="s">
        <v>13</v>
      </c>
      <c r="D10" s="1251"/>
      <c r="E10" s="1251"/>
      <c r="F10" s="1251"/>
      <c r="G10" s="1251"/>
      <c r="H10" s="1251"/>
      <c r="I10" s="1252"/>
      <c r="J10" s="348"/>
      <c r="K10" s="345" t="s">
        <v>1325</v>
      </c>
      <c r="L10" s="213"/>
      <c r="M10" s="305"/>
      <c r="N10" s="242" t="s">
        <v>1345</v>
      </c>
      <c r="O10" s="213"/>
      <c r="P10" s="305"/>
      <c r="Q10" s="242" t="s">
        <v>1365</v>
      </c>
      <c r="R10" s="213"/>
      <c r="S10" s="310"/>
      <c r="T10" s="335" t="s">
        <v>1385</v>
      </c>
      <c r="U10" s="213"/>
      <c r="V10" s="305"/>
      <c r="W10" s="242" t="s">
        <v>1403</v>
      </c>
      <c r="X10" s="213"/>
      <c r="Y10" s="240"/>
      <c r="Z10" s="242" t="s">
        <v>1423</v>
      </c>
      <c r="AA10" s="245">
        <f>L10+O10+R10-U10-X10</f>
        <v>0</v>
      </c>
      <c r="AB10" s="305"/>
      <c r="AC10" s="242" t="s">
        <v>1442</v>
      </c>
      <c r="AD10" s="213"/>
      <c r="AE10" s="310"/>
      <c r="AF10" s="211"/>
      <c r="AG10" s="154"/>
    </row>
    <row r="11" spans="1:33" ht="16.5" customHeight="1">
      <c r="B11" s="1249"/>
      <c r="C11" s="1259" t="s">
        <v>14</v>
      </c>
      <c r="D11" s="1259"/>
      <c r="E11" s="290" t="s">
        <v>881</v>
      </c>
      <c r="F11" s="290" t="s">
        <v>939</v>
      </c>
      <c r="G11" s="269"/>
      <c r="H11" s="289" t="s">
        <v>941</v>
      </c>
      <c r="I11" s="353"/>
      <c r="J11" s="350"/>
      <c r="K11" s="346" t="s">
        <v>1326</v>
      </c>
      <c r="L11" s="198"/>
      <c r="M11" s="307"/>
      <c r="N11" s="234" t="s">
        <v>1346</v>
      </c>
      <c r="O11" s="198"/>
      <c r="P11" s="307"/>
      <c r="Q11" s="234" t="s">
        <v>1366</v>
      </c>
      <c r="R11" s="198"/>
      <c r="S11" s="312"/>
      <c r="T11" s="336" t="s">
        <v>1386</v>
      </c>
      <c r="U11" s="198"/>
      <c r="V11" s="307"/>
      <c r="W11" s="234" t="s">
        <v>1404</v>
      </c>
      <c r="X11" s="198"/>
      <c r="Y11" s="237"/>
      <c r="Z11" s="234" t="s">
        <v>1424</v>
      </c>
      <c r="AA11" s="197">
        <f>L11+O11+R11-U11-X11</f>
        <v>0</v>
      </c>
      <c r="AB11" s="307"/>
      <c r="AC11" s="234" t="s">
        <v>1443</v>
      </c>
      <c r="AD11" s="198"/>
      <c r="AE11" s="312"/>
      <c r="AF11" s="211"/>
      <c r="AG11" s="154"/>
    </row>
    <row r="12" spans="1:33" ht="16.5" customHeight="1">
      <c r="B12" s="1249"/>
      <c r="C12" s="1259"/>
      <c r="D12" s="1259"/>
      <c r="E12" s="290" t="s">
        <v>882</v>
      </c>
      <c r="F12" s="290" t="s">
        <v>939</v>
      </c>
      <c r="G12" s="269"/>
      <c r="H12" s="289" t="s">
        <v>942</v>
      </c>
      <c r="I12" s="353"/>
      <c r="J12" s="350"/>
      <c r="K12" s="346" t="s">
        <v>1327</v>
      </c>
      <c r="L12" s="198"/>
      <c r="M12" s="307"/>
      <c r="N12" s="234" t="s">
        <v>1347</v>
      </c>
      <c r="O12" s="198"/>
      <c r="P12" s="307"/>
      <c r="Q12" s="234" t="s">
        <v>1367</v>
      </c>
      <c r="R12" s="198"/>
      <c r="S12" s="312"/>
      <c r="T12" s="336" t="s">
        <v>1387</v>
      </c>
      <c r="U12" s="198"/>
      <c r="V12" s="307"/>
      <c r="W12" s="234" t="s">
        <v>1405</v>
      </c>
      <c r="X12" s="198"/>
      <c r="Y12" s="237"/>
      <c r="Z12" s="234" t="s">
        <v>1425</v>
      </c>
      <c r="AA12" s="197">
        <f t="shared" ref="AA12:AA20" si="0">L12+O12+R12-U12-X12</f>
        <v>0</v>
      </c>
      <c r="AB12" s="307"/>
      <c r="AC12" s="234" t="s">
        <v>1444</v>
      </c>
      <c r="AD12" s="198"/>
      <c r="AE12" s="312"/>
      <c r="AF12" s="211"/>
      <c r="AG12" s="154"/>
    </row>
    <row r="13" spans="1:33" ht="16.5" customHeight="1">
      <c r="B13" s="1249"/>
      <c r="C13" s="1259"/>
      <c r="D13" s="1259"/>
      <c r="E13" s="290" t="s">
        <v>940</v>
      </c>
      <c r="F13" s="290" t="s">
        <v>939</v>
      </c>
      <c r="G13" s="269"/>
      <c r="H13" s="289" t="s">
        <v>943</v>
      </c>
      <c r="I13" s="353"/>
      <c r="J13" s="350"/>
      <c r="K13" s="346" t="s">
        <v>1328</v>
      </c>
      <c r="L13" s="198"/>
      <c r="M13" s="307"/>
      <c r="N13" s="234" t="s">
        <v>1348</v>
      </c>
      <c r="O13" s="198"/>
      <c r="P13" s="307"/>
      <c r="Q13" s="234" t="s">
        <v>1368</v>
      </c>
      <c r="R13" s="198"/>
      <c r="S13" s="312"/>
      <c r="T13" s="511" t="s">
        <v>1388</v>
      </c>
      <c r="U13" s="198"/>
      <c r="V13" s="307"/>
      <c r="W13" s="234" t="s">
        <v>1406</v>
      </c>
      <c r="X13" s="198"/>
      <c r="Y13" s="237"/>
      <c r="Z13" s="234" t="s">
        <v>1426</v>
      </c>
      <c r="AA13" s="197">
        <f t="shared" si="0"/>
        <v>0</v>
      </c>
      <c r="AB13" s="307"/>
      <c r="AC13" s="234" t="s">
        <v>1445</v>
      </c>
      <c r="AD13" s="198"/>
      <c r="AE13" s="312"/>
      <c r="AF13" s="211"/>
      <c r="AG13" s="154"/>
    </row>
    <row r="14" spans="1:33" ht="16.5" customHeight="1">
      <c r="B14" s="1249"/>
      <c r="C14" s="1264" t="s">
        <v>883</v>
      </c>
      <c r="D14" s="1264"/>
      <c r="E14" s="1264"/>
      <c r="F14" s="290" t="s">
        <v>939</v>
      </c>
      <c r="G14" s="269"/>
      <c r="H14" s="289" t="s">
        <v>944</v>
      </c>
      <c r="I14" s="204"/>
      <c r="J14" s="351"/>
      <c r="K14" s="346" t="s">
        <v>1329</v>
      </c>
      <c r="L14" s="198"/>
      <c r="M14" s="307"/>
      <c r="N14" s="234" t="s">
        <v>1349</v>
      </c>
      <c r="O14" s="198"/>
      <c r="P14" s="307"/>
      <c r="Q14" s="234" t="s">
        <v>1369</v>
      </c>
      <c r="R14" s="198"/>
      <c r="S14" s="312"/>
      <c r="T14" s="511" t="s">
        <v>1389</v>
      </c>
      <c r="U14" s="198"/>
      <c r="V14" s="307"/>
      <c r="W14" s="234" t="s">
        <v>1407</v>
      </c>
      <c r="X14" s="198"/>
      <c r="Y14" s="237"/>
      <c r="Z14" s="234" t="s">
        <v>1427</v>
      </c>
      <c r="AA14" s="197">
        <f t="shared" si="0"/>
        <v>0</v>
      </c>
      <c r="AB14" s="307"/>
      <c r="AC14" s="234" t="s">
        <v>1446</v>
      </c>
      <c r="AD14" s="198"/>
      <c r="AE14" s="312"/>
      <c r="AF14" s="211"/>
      <c r="AG14" s="154"/>
    </row>
    <row r="15" spans="1:33" ht="16.5" customHeight="1">
      <c r="B15" s="1249"/>
      <c r="C15" s="1266" t="s">
        <v>16</v>
      </c>
      <c r="D15" s="1266"/>
      <c r="E15" s="1264" t="s">
        <v>1206</v>
      </c>
      <c r="F15" s="1264"/>
      <c r="G15" s="1264"/>
      <c r="H15" s="1264"/>
      <c r="I15" s="1265"/>
      <c r="J15" s="351"/>
      <c r="K15" s="346" t="s">
        <v>1330</v>
      </c>
      <c r="L15" s="198"/>
      <c r="M15" s="307"/>
      <c r="N15" s="234" t="s">
        <v>1350</v>
      </c>
      <c r="O15" s="198"/>
      <c r="P15" s="307"/>
      <c r="Q15" s="234" t="s">
        <v>1370</v>
      </c>
      <c r="R15" s="198"/>
      <c r="S15" s="312"/>
      <c r="T15" s="511" t="s">
        <v>1390</v>
      </c>
      <c r="U15" s="198"/>
      <c r="V15" s="307"/>
      <c r="W15" s="234" t="s">
        <v>1408</v>
      </c>
      <c r="X15" s="198"/>
      <c r="Y15" s="237"/>
      <c r="Z15" s="234" t="s">
        <v>1428</v>
      </c>
      <c r="AA15" s="197">
        <f t="shared" si="0"/>
        <v>0</v>
      </c>
      <c r="AB15" s="307"/>
      <c r="AC15" s="234" t="s">
        <v>1447</v>
      </c>
      <c r="AD15" s="198"/>
      <c r="AE15" s="312"/>
      <c r="AF15" s="211"/>
      <c r="AG15" s="154"/>
    </row>
    <row r="16" spans="1:33" ht="16.5" customHeight="1">
      <c r="B16" s="1249"/>
      <c r="C16" s="1266"/>
      <c r="D16" s="1266"/>
      <c r="E16" s="1264" t="s">
        <v>884</v>
      </c>
      <c r="F16" s="1264"/>
      <c r="G16" s="1264"/>
      <c r="H16" s="1264"/>
      <c r="I16" s="1265"/>
      <c r="J16" s="351"/>
      <c r="K16" s="346" t="s">
        <v>1331</v>
      </c>
      <c r="L16" s="198"/>
      <c r="M16" s="307"/>
      <c r="N16" s="234" t="s">
        <v>1351</v>
      </c>
      <c r="O16" s="198"/>
      <c r="P16" s="307"/>
      <c r="Q16" s="234" t="s">
        <v>1371</v>
      </c>
      <c r="R16" s="198"/>
      <c r="S16" s="312"/>
      <c r="T16" s="336" t="s">
        <v>1391</v>
      </c>
      <c r="U16" s="198"/>
      <c r="V16" s="307"/>
      <c r="W16" s="234" t="s">
        <v>1409</v>
      </c>
      <c r="X16" s="198"/>
      <c r="Y16" s="237"/>
      <c r="Z16" s="234" t="s">
        <v>1429</v>
      </c>
      <c r="AA16" s="197">
        <f t="shared" si="0"/>
        <v>0</v>
      </c>
      <c r="AB16" s="307"/>
      <c r="AC16" s="234" t="s">
        <v>1448</v>
      </c>
      <c r="AD16" s="198"/>
      <c r="AE16" s="312"/>
      <c r="AF16" s="211"/>
      <c r="AG16" s="154"/>
    </row>
    <row r="17" spans="1:33" ht="16.5" customHeight="1">
      <c r="B17" s="1249"/>
      <c r="C17" s="1266"/>
      <c r="D17" s="1266"/>
      <c r="E17" s="1264" t="s">
        <v>885</v>
      </c>
      <c r="F17" s="1264"/>
      <c r="G17" s="1264"/>
      <c r="H17" s="1264"/>
      <c r="I17" s="1265"/>
      <c r="J17" s="351"/>
      <c r="K17" s="346" t="s">
        <v>1332</v>
      </c>
      <c r="L17" s="198"/>
      <c r="M17" s="307"/>
      <c r="N17" s="234" t="s">
        <v>1352</v>
      </c>
      <c r="O17" s="198"/>
      <c r="P17" s="307"/>
      <c r="Q17" s="234" t="s">
        <v>1372</v>
      </c>
      <c r="R17" s="198"/>
      <c r="S17" s="312"/>
      <c r="T17" s="511" t="s">
        <v>1392</v>
      </c>
      <c r="U17" s="198"/>
      <c r="V17" s="307"/>
      <c r="W17" s="234" t="s">
        <v>1410</v>
      </c>
      <c r="X17" s="198"/>
      <c r="Y17" s="237"/>
      <c r="Z17" s="234" t="s">
        <v>1430</v>
      </c>
      <c r="AA17" s="197">
        <f t="shared" si="0"/>
        <v>0</v>
      </c>
      <c r="AB17" s="307"/>
      <c r="AC17" s="234" t="s">
        <v>1449</v>
      </c>
      <c r="AD17" s="198"/>
      <c r="AE17" s="312"/>
      <c r="AF17" s="211"/>
      <c r="AG17" s="154"/>
    </row>
    <row r="18" spans="1:33" ht="16.5" customHeight="1">
      <c r="B18" s="1249"/>
      <c r="C18" s="1266"/>
      <c r="D18" s="1266"/>
      <c r="E18" s="1264" t="s">
        <v>886</v>
      </c>
      <c r="F18" s="1264"/>
      <c r="G18" s="1264"/>
      <c r="H18" s="1264"/>
      <c r="I18" s="1265"/>
      <c r="J18" s="351"/>
      <c r="K18" s="346" t="s">
        <v>1333</v>
      </c>
      <c r="L18" s="198"/>
      <c r="M18" s="307"/>
      <c r="N18" s="234" t="s">
        <v>1353</v>
      </c>
      <c r="O18" s="198"/>
      <c r="P18" s="307"/>
      <c r="Q18" s="234" t="s">
        <v>1373</v>
      </c>
      <c r="R18" s="198"/>
      <c r="S18" s="312"/>
      <c r="T18" s="511" t="s">
        <v>1393</v>
      </c>
      <c r="U18" s="198"/>
      <c r="V18" s="307"/>
      <c r="W18" s="234" t="s">
        <v>1411</v>
      </c>
      <c r="X18" s="198"/>
      <c r="Y18" s="237"/>
      <c r="Z18" s="289" t="s">
        <v>1431</v>
      </c>
      <c r="AA18" s="197">
        <f t="shared" si="0"/>
        <v>0</v>
      </c>
      <c r="AB18" s="307"/>
      <c r="AC18" s="289" t="s">
        <v>1450</v>
      </c>
      <c r="AD18" s="198"/>
      <c r="AE18" s="312"/>
      <c r="AF18" s="211"/>
      <c r="AG18" s="154"/>
    </row>
    <row r="19" spans="1:33" ht="16.5" customHeight="1">
      <c r="B19" s="1249"/>
      <c r="C19" s="1246" t="s">
        <v>17</v>
      </c>
      <c r="D19" s="1246"/>
      <c r="E19" s="1246"/>
      <c r="F19" s="1246"/>
      <c r="G19" s="1246"/>
      <c r="H19" s="1246"/>
      <c r="I19" s="1247"/>
      <c r="J19" s="351"/>
      <c r="K19" s="336" t="s">
        <v>1334</v>
      </c>
      <c r="L19" s="198"/>
      <c r="M19" s="307"/>
      <c r="N19" s="467" t="s">
        <v>1354</v>
      </c>
      <c r="O19" s="198"/>
      <c r="P19" s="307"/>
      <c r="Q19" s="467" t="s">
        <v>1374</v>
      </c>
      <c r="R19" s="198"/>
      <c r="S19" s="312"/>
      <c r="T19" s="905" t="s">
        <v>902</v>
      </c>
      <c r="U19" s="198"/>
      <c r="V19" s="395"/>
      <c r="W19" s="467" t="s">
        <v>1412</v>
      </c>
      <c r="X19" s="198"/>
      <c r="Y19" s="237"/>
      <c r="Z19" s="467" t="s">
        <v>1432</v>
      </c>
      <c r="AA19" s="197">
        <f t="shared" si="0"/>
        <v>0</v>
      </c>
      <c r="AB19" s="307"/>
      <c r="AC19" s="467" t="s">
        <v>1451</v>
      </c>
      <c r="AD19" s="198"/>
      <c r="AE19" s="312"/>
      <c r="AF19" s="211"/>
      <c r="AG19" s="154"/>
    </row>
    <row r="20" spans="1:33" ht="16.5" customHeight="1">
      <c r="B20" s="1249"/>
      <c r="C20" s="1246" t="s">
        <v>887</v>
      </c>
      <c r="D20" s="1246"/>
      <c r="E20" s="1246"/>
      <c r="F20" s="1246"/>
      <c r="G20" s="1246"/>
      <c r="H20" s="1246"/>
      <c r="I20" s="1247"/>
      <c r="J20" s="351"/>
      <c r="K20" s="346" t="s">
        <v>1335</v>
      </c>
      <c r="L20" s="198"/>
      <c r="M20" s="307"/>
      <c r="N20" s="234" t="s">
        <v>1355</v>
      </c>
      <c r="O20" s="198"/>
      <c r="P20" s="307"/>
      <c r="Q20" s="234" t="s">
        <v>1375</v>
      </c>
      <c r="R20" s="198"/>
      <c r="S20" s="312"/>
      <c r="T20" s="905" t="s">
        <v>903</v>
      </c>
      <c r="U20" s="198"/>
      <c r="V20" s="307"/>
      <c r="W20" s="234" t="s">
        <v>1413</v>
      </c>
      <c r="X20" s="198"/>
      <c r="Y20" s="237"/>
      <c r="Z20" s="234" t="s">
        <v>1433</v>
      </c>
      <c r="AA20" s="197">
        <f t="shared" si="0"/>
        <v>0</v>
      </c>
      <c r="AB20" s="307"/>
      <c r="AC20" s="234" t="s">
        <v>1452</v>
      </c>
      <c r="AD20" s="198"/>
      <c r="AE20" s="312"/>
      <c r="AF20" s="211"/>
      <c r="AG20" s="154"/>
    </row>
    <row r="21" spans="1:33" ht="16.5" customHeight="1" thickBot="1">
      <c r="B21" s="1250"/>
      <c r="C21" s="1256"/>
      <c r="D21" s="1257"/>
      <c r="E21" s="1257"/>
      <c r="F21" s="1257"/>
      <c r="G21" s="1257"/>
      <c r="H21" s="1258"/>
      <c r="I21" s="382" t="s">
        <v>888</v>
      </c>
      <c r="J21" s="352"/>
      <c r="K21" s="344" t="s">
        <v>1336</v>
      </c>
      <c r="L21" s="201">
        <f>SUM(L10:L20)</f>
        <v>0</v>
      </c>
      <c r="M21" s="308"/>
      <c r="N21" s="235" t="s">
        <v>1356</v>
      </c>
      <c r="O21" s="201">
        <f>SUM(O10:O20)</f>
        <v>0</v>
      </c>
      <c r="P21" s="308"/>
      <c r="Q21" s="235" t="s">
        <v>1376</v>
      </c>
      <c r="R21" s="201">
        <f>SUM(R10:R20)</f>
        <v>0</v>
      </c>
      <c r="S21" s="313"/>
      <c r="T21" s="518" t="s">
        <v>1394</v>
      </c>
      <c r="U21" s="201">
        <f>SUM(U10:U20)</f>
        <v>0</v>
      </c>
      <c r="V21" s="308"/>
      <c r="W21" s="235" t="s">
        <v>1414</v>
      </c>
      <c r="X21" s="201">
        <f>SUM(X10:X20)</f>
        <v>0</v>
      </c>
      <c r="Y21" s="238"/>
      <c r="Z21" s="235" t="s">
        <v>1434</v>
      </c>
      <c r="AA21" s="316">
        <f>SUM(AA10:AA20)</f>
        <v>0</v>
      </c>
      <c r="AB21" s="308"/>
      <c r="AC21" s="235" t="s">
        <v>1453</v>
      </c>
      <c r="AD21" s="201">
        <f>SUM(AD10:AD20)</f>
        <v>0</v>
      </c>
      <c r="AE21" s="313"/>
      <c r="AF21" s="211"/>
      <c r="AG21" s="154"/>
    </row>
    <row r="22" spans="1:33" ht="16.5" customHeight="1">
      <c r="B22" s="1248" t="s">
        <v>889</v>
      </c>
      <c r="C22" s="1251" t="s">
        <v>890</v>
      </c>
      <c r="D22" s="1251"/>
      <c r="E22" s="1251"/>
      <c r="F22" s="1251"/>
      <c r="G22" s="1251"/>
      <c r="H22" s="1251"/>
      <c r="I22" s="1252"/>
      <c r="J22" s="348"/>
      <c r="K22" s="345" t="s">
        <v>1337</v>
      </c>
      <c r="L22" s="213"/>
      <c r="M22" s="305"/>
      <c r="N22" s="242" t="s">
        <v>1357</v>
      </c>
      <c r="O22" s="213"/>
      <c r="P22" s="305"/>
      <c r="Q22" s="242" t="s">
        <v>1377</v>
      </c>
      <c r="R22" s="213"/>
      <c r="S22" s="310"/>
      <c r="T22" s="335" t="s">
        <v>1395</v>
      </c>
      <c r="U22" s="213"/>
      <c r="V22" s="305"/>
      <c r="W22" s="413" t="s">
        <v>1415</v>
      </c>
      <c r="X22" s="213"/>
      <c r="Y22" s="240"/>
      <c r="Z22" s="242" t="s">
        <v>1435</v>
      </c>
      <c r="AA22" s="245">
        <f>L22+O22+R22-U22-X22</f>
        <v>0</v>
      </c>
      <c r="AB22" s="305"/>
      <c r="AC22" s="242" t="s">
        <v>1454</v>
      </c>
      <c r="AD22" s="213"/>
      <c r="AE22" s="310"/>
      <c r="AF22" s="211"/>
      <c r="AG22" s="154"/>
    </row>
    <row r="23" spans="1:33" ht="16.5" customHeight="1">
      <c r="B23" s="1249"/>
      <c r="C23" s="1246" t="s">
        <v>891</v>
      </c>
      <c r="D23" s="1246"/>
      <c r="E23" s="1246"/>
      <c r="F23" s="1246"/>
      <c r="G23" s="1246"/>
      <c r="H23" s="1246"/>
      <c r="I23" s="1247"/>
      <c r="J23" s="351"/>
      <c r="K23" s="346" t="s">
        <v>1338</v>
      </c>
      <c r="L23" s="198"/>
      <c r="M23" s="307"/>
      <c r="N23" s="234" t="s">
        <v>1358</v>
      </c>
      <c r="O23" s="198"/>
      <c r="P23" s="307"/>
      <c r="Q23" s="234" t="s">
        <v>1378</v>
      </c>
      <c r="R23" s="198"/>
      <c r="S23" s="312"/>
      <c r="T23" s="336" t="s">
        <v>1396</v>
      </c>
      <c r="U23" s="198"/>
      <c r="V23" s="307"/>
      <c r="W23" s="234" t="s">
        <v>1416</v>
      </c>
      <c r="X23" s="198"/>
      <c r="Y23" s="237"/>
      <c r="Z23" s="234" t="s">
        <v>1436</v>
      </c>
      <c r="AA23" s="197">
        <f>L23+O23+R23-U23-X23</f>
        <v>0</v>
      </c>
      <c r="AB23" s="307"/>
      <c r="AC23" s="234" t="s">
        <v>1455</v>
      </c>
      <c r="AD23" s="198"/>
      <c r="AE23" s="312"/>
      <c r="AF23" s="211"/>
      <c r="AG23" s="154"/>
    </row>
    <row r="24" spans="1:33" ht="16.5" customHeight="1">
      <c r="B24" s="1249"/>
      <c r="C24" s="1246" t="s">
        <v>23</v>
      </c>
      <c r="D24" s="1246"/>
      <c r="E24" s="1246"/>
      <c r="F24" s="1246"/>
      <c r="G24" s="1246"/>
      <c r="H24" s="1246"/>
      <c r="I24" s="1247"/>
      <c r="J24" s="351"/>
      <c r="K24" s="346" t="s">
        <v>1339</v>
      </c>
      <c r="L24" s="198"/>
      <c r="M24" s="307"/>
      <c r="N24" s="234" t="s">
        <v>1359</v>
      </c>
      <c r="O24" s="198"/>
      <c r="P24" s="307"/>
      <c r="Q24" s="234" t="s">
        <v>1379</v>
      </c>
      <c r="R24" s="198"/>
      <c r="S24" s="312"/>
      <c r="T24" s="336" t="s">
        <v>1397</v>
      </c>
      <c r="U24" s="198"/>
      <c r="V24" s="307"/>
      <c r="W24" s="234" t="s">
        <v>1417</v>
      </c>
      <c r="X24" s="198"/>
      <c r="Y24" s="237"/>
      <c r="Z24" s="234" t="s">
        <v>1437</v>
      </c>
      <c r="AA24" s="197">
        <f>L24+O24+R24-U24-X24</f>
        <v>0</v>
      </c>
      <c r="AB24" s="307"/>
      <c r="AC24" s="234" t="s">
        <v>1456</v>
      </c>
      <c r="AD24" s="198"/>
      <c r="AE24" s="312"/>
      <c r="AF24" s="211"/>
      <c r="AG24" s="154"/>
    </row>
    <row r="25" spans="1:33" ht="16.5" customHeight="1">
      <c r="B25" s="1249"/>
      <c r="C25" s="1246" t="s">
        <v>892</v>
      </c>
      <c r="D25" s="1246"/>
      <c r="E25" s="1246"/>
      <c r="F25" s="1246"/>
      <c r="G25" s="1246"/>
      <c r="H25" s="1246"/>
      <c r="I25" s="1247"/>
      <c r="J25" s="351"/>
      <c r="K25" s="346" t="s">
        <v>1340</v>
      </c>
      <c r="L25" s="198"/>
      <c r="M25" s="307"/>
      <c r="N25" s="234" t="s">
        <v>1360</v>
      </c>
      <c r="O25" s="198"/>
      <c r="P25" s="307"/>
      <c r="Q25" s="234" t="s">
        <v>1380</v>
      </c>
      <c r="R25" s="198"/>
      <c r="S25" s="312"/>
      <c r="T25" s="336" t="s">
        <v>1398</v>
      </c>
      <c r="U25" s="198"/>
      <c r="V25" s="307"/>
      <c r="W25" s="234" t="s">
        <v>1418</v>
      </c>
      <c r="X25" s="198"/>
      <c r="Y25" s="237" t="s">
        <v>1988</v>
      </c>
      <c r="Z25" s="236" t="s">
        <v>1438</v>
      </c>
      <c r="AA25" s="197">
        <f>L25+O25+R25-U25-X25</f>
        <v>0</v>
      </c>
      <c r="AB25" s="307"/>
      <c r="AC25" s="234" t="s">
        <v>1457</v>
      </c>
      <c r="AD25" s="198"/>
      <c r="AE25" s="312"/>
      <c r="AF25" s="211"/>
      <c r="AG25" s="154"/>
    </row>
    <row r="26" spans="1:33" ht="16.5" customHeight="1" thickBot="1">
      <c r="B26" s="1250"/>
      <c r="C26" s="1253" t="s">
        <v>893</v>
      </c>
      <c r="D26" s="1254"/>
      <c r="E26" s="1254"/>
      <c r="F26" s="1254"/>
      <c r="G26" s="1254"/>
      <c r="H26" s="1254"/>
      <c r="I26" s="1255"/>
      <c r="J26" s="352"/>
      <c r="K26" s="344" t="s">
        <v>1341</v>
      </c>
      <c r="L26" s="201">
        <f>SUM(L22:L25)</f>
        <v>0</v>
      </c>
      <c r="M26" s="308"/>
      <c r="N26" s="235" t="s">
        <v>1361</v>
      </c>
      <c r="O26" s="201">
        <f>SUM(O22:O25)</f>
        <v>0</v>
      </c>
      <c r="P26" s="308"/>
      <c r="Q26" s="235" t="s">
        <v>1381</v>
      </c>
      <c r="R26" s="201">
        <f>SUM(R22:R25)</f>
        <v>0</v>
      </c>
      <c r="S26" s="313"/>
      <c r="T26" s="519" t="s">
        <v>1399</v>
      </c>
      <c r="U26" s="201">
        <f>SUM(U22:U25)</f>
        <v>0</v>
      </c>
      <c r="V26" s="308"/>
      <c r="W26" s="234" t="s">
        <v>1419</v>
      </c>
      <c r="X26" s="201">
        <f>SUM(X22:X25)</f>
        <v>0</v>
      </c>
      <c r="Y26" s="238"/>
      <c r="Z26" s="235" t="s">
        <v>1439</v>
      </c>
      <c r="AA26" s="201">
        <f>SUM(AA22:AA25)</f>
        <v>0</v>
      </c>
      <c r="AB26" s="308"/>
      <c r="AC26" s="235" t="s">
        <v>1458</v>
      </c>
      <c r="AD26" s="201">
        <f>SUM(AD22:AD25)</f>
        <v>0</v>
      </c>
      <c r="AE26" s="313"/>
      <c r="AF26" s="211"/>
      <c r="AG26" s="154"/>
    </row>
    <row r="27" spans="1:33" ht="13.8" thickBot="1">
      <c r="A27" s="154"/>
      <c r="B27" s="1243" t="s">
        <v>894</v>
      </c>
      <c r="C27" s="1244"/>
      <c r="D27" s="1244"/>
      <c r="E27" s="1244"/>
      <c r="F27" s="1244"/>
      <c r="G27" s="1244"/>
      <c r="H27" s="1244"/>
      <c r="I27" s="1245"/>
      <c r="J27" s="343"/>
      <c r="K27" s="347" t="s">
        <v>1342</v>
      </c>
      <c r="L27" s="248">
        <f>L8+L9+L21+L26</f>
        <v>0</v>
      </c>
      <c r="M27" s="309"/>
      <c r="N27" s="247" t="s">
        <v>1362</v>
      </c>
      <c r="O27" s="248">
        <f>O8+O9+O21+O26</f>
        <v>0</v>
      </c>
      <c r="P27" s="309"/>
      <c r="Q27" s="247" t="s">
        <v>1382</v>
      </c>
      <c r="R27" s="248">
        <f>R8+R9+R21+R26</f>
        <v>0</v>
      </c>
      <c r="S27" s="314"/>
      <c r="T27" s="520" t="s">
        <v>1400</v>
      </c>
      <c r="U27" s="248">
        <f>U8+U9+U21+U26</f>
        <v>0</v>
      </c>
      <c r="V27" s="309"/>
      <c r="W27" s="235" t="s">
        <v>1420</v>
      </c>
      <c r="X27" s="248">
        <f>X8+X9+X21+X26</f>
        <v>0</v>
      </c>
      <c r="Y27" s="249"/>
      <c r="Z27" s="247" t="s">
        <v>1440</v>
      </c>
      <c r="AA27" s="248">
        <f>AA8+AA9+AA21+AA26</f>
        <v>0</v>
      </c>
      <c r="AB27" s="309"/>
      <c r="AC27" s="247" t="s">
        <v>1459</v>
      </c>
      <c r="AD27" s="248">
        <f>AD8+AD9+AD21+AD26</f>
        <v>0</v>
      </c>
      <c r="AE27" s="314"/>
      <c r="AF27" s="211"/>
      <c r="AG27" s="154"/>
    </row>
    <row r="28" spans="1:33">
      <c r="T28" s="154"/>
      <c r="U28" s="154"/>
      <c r="AF28" s="154"/>
      <c r="AG28" s="154"/>
    </row>
    <row r="29" spans="1:33">
      <c r="T29" s="154"/>
      <c r="U29" s="154"/>
      <c r="AF29" s="154"/>
      <c r="AG29" s="154"/>
    </row>
    <row r="30" spans="1:33">
      <c r="AF30" s="154"/>
      <c r="AG30" s="154"/>
    </row>
  </sheetData>
  <mergeCells count="44">
    <mergeCell ref="B2:AE2"/>
    <mergeCell ref="K4:R4"/>
    <mergeCell ref="B5:I7"/>
    <mergeCell ref="T5:Y5"/>
    <mergeCell ref="Z5:AB6"/>
    <mergeCell ref="AC5:AE5"/>
    <mergeCell ref="T6:V6"/>
    <mergeCell ref="W6:Y6"/>
    <mergeCell ref="AC6:AE6"/>
    <mergeCell ref="N6:P6"/>
    <mergeCell ref="K5:M6"/>
    <mergeCell ref="T4:AE4"/>
    <mergeCell ref="Q6:S6"/>
    <mergeCell ref="N5:S5"/>
    <mergeCell ref="J5:J7"/>
    <mergeCell ref="T7:U7"/>
    <mergeCell ref="B8:B9"/>
    <mergeCell ref="B10:B21"/>
    <mergeCell ref="C10:I10"/>
    <mergeCell ref="C11:D13"/>
    <mergeCell ref="C8:H8"/>
    <mergeCell ref="C9:H9"/>
    <mergeCell ref="E16:I16"/>
    <mergeCell ref="E17:I17"/>
    <mergeCell ref="E18:I18"/>
    <mergeCell ref="E15:I15"/>
    <mergeCell ref="C15:D18"/>
    <mergeCell ref="C19:I19"/>
    <mergeCell ref="C14:E14"/>
    <mergeCell ref="B27:I27"/>
    <mergeCell ref="C20:I20"/>
    <mergeCell ref="B22:B26"/>
    <mergeCell ref="C22:I22"/>
    <mergeCell ref="C23:I23"/>
    <mergeCell ref="C24:I24"/>
    <mergeCell ref="C25:I25"/>
    <mergeCell ref="C26:I26"/>
    <mergeCell ref="C21:H21"/>
    <mergeCell ref="K7:L7"/>
    <mergeCell ref="W7:X7"/>
    <mergeCell ref="Z7:AA7"/>
    <mergeCell ref="AC7:AD7"/>
    <mergeCell ref="Q7:R7"/>
    <mergeCell ref="N7:O7"/>
  </mergeCells>
  <hyperlinks>
    <hyperlink ref="A1" location="Sommaire!A1" display="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Feuil7">
    <tabColor theme="3" tint="0.59999389629810485"/>
    <outlinePr summaryBelow="0" summaryRight="0"/>
  </sheetPr>
  <dimension ref="A1:AS31"/>
  <sheetViews>
    <sheetView showGridLines="0" zoomScale="80" zoomScaleNormal="80" workbookViewId="0">
      <pane ySplit="1" topLeftCell="A2" activePane="bottomLeft" state="frozen"/>
      <selection activeCell="A3" sqref="A3"/>
      <selection pane="bottomLeft" activeCell="A3" sqref="A3"/>
    </sheetView>
  </sheetViews>
  <sheetFormatPr baseColWidth="10" defaultColWidth="11.44140625" defaultRowHeight="13.2" outlineLevelRow="1" outlineLevelCol="1"/>
  <cols>
    <col min="1" max="1" width="2.5546875" style="191" customWidth="1"/>
    <col min="2" max="2" width="6.44140625" style="191" customWidth="1"/>
    <col min="3" max="3" width="6.33203125" style="191" customWidth="1"/>
    <col min="4" max="4" width="13" style="191" customWidth="1"/>
    <col min="5" max="5" width="3.33203125" style="191" customWidth="1"/>
    <col min="6" max="6" width="5.88671875" style="191" customWidth="1"/>
    <col min="7" max="7" width="3.44140625" style="191" customWidth="1"/>
    <col min="8" max="8" width="3.33203125" style="191" bestFit="1" customWidth="1"/>
    <col min="9" max="9" width="9" style="191" customWidth="1" collapsed="1"/>
    <col min="10" max="10" width="32.33203125" style="191" hidden="1" customWidth="1" outlineLevel="1"/>
    <col min="11" max="11" width="3.44140625" style="191" bestFit="1" customWidth="1"/>
    <col min="12" max="12" width="11.5546875" style="191" customWidth="1" collapsed="1"/>
    <col min="13" max="13" width="15.33203125" style="191" hidden="1" customWidth="1" outlineLevel="1"/>
    <col min="14" max="14" width="3.33203125" style="191" bestFit="1" customWidth="1"/>
    <col min="15" max="15" width="11.5546875" style="191" customWidth="1" collapsed="1"/>
    <col min="16" max="16" width="38.33203125" style="191" hidden="1" customWidth="1" outlineLevel="1"/>
    <col min="17" max="17" width="3.5546875" style="191" bestFit="1" customWidth="1"/>
    <col min="18" max="18" width="11.5546875" style="191" customWidth="1" collapsed="1"/>
    <col min="19" max="19" width="25.6640625" style="191" hidden="1" customWidth="1" outlineLevel="1"/>
    <col min="20" max="20" width="3.33203125" style="191" bestFit="1" customWidth="1"/>
    <col min="21" max="21" width="11.33203125" style="191" customWidth="1" collapsed="1"/>
    <col min="22" max="22" width="15.33203125" style="191" hidden="1" customWidth="1" outlineLevel="1"/>
    <col min="23" max="23" width="3.5546875" style="191" bestFit="1" customWidth="1"/>
    <col min="24" max="24" width="11.5546875" style="191" customWidth="1" collapsed="1"/>
    <col min="25" max="25" width="11.44140625" style="191" hidden="1" customWidth="1" outlineLevel="1"/>
    <col min="26" max="26" width="3.5546875" style="191" bestFit="1" customWidth="1"/>
    <col min="27" max="27" width="11.5546875" style="191" customWidth="1" collapsed="1"/>
    <col min="28" max="28" width="11.44140625" style="191" hidden="1" customWidth="1" outlineLevel="1"/>
    <col min="29" max="29" width="3.5546875" style="191" bestFit="1" customWidth="1"/>
    <col min="30" max="30" width="11.5546875" style="191" customWidth="1" collapsed="1"/>
    <col min="31" max="31" width="11.44140625" style="191" hidden="1" customWidth="1" outlineLevel="1"/>
    <col min="32" max="32" width="3.5546875" style="191" bestFit="1" customWidth="1"/>
    <col min="33" max="33" width="11.5546875" style="191" customWidth="1" collapsed="1"/>
    <col min="34" max="34" width="11.44140625" style="191" hidden="1" customWidth="1" outlineLevel="1"/>
    <col min="35" max="35" width="3.5546875" style="191" bestFit="1" customWidth="1"/>
    <col min="36" max="36" width="11.5546875" style="191" customWidth="1" collapsed="1"/>
    <col min="37" max="37" width="11.44140625" style="191" hidden="1" customWidth="1" outlineLevel="1"/>
    <col min="38" max="38" width="3.5546875" style="191" bestFit="1" customWidth="1"/>
    <col min="39" max="39" width="11.5546875" style="191" customWidth="1" collapsed="1"/>
    <col min="40" max="40" width="11.44140625" style="191" hidden="1" customWidth="1" outlineLevel="1"/>
    <col min="41" max="41" width="3.5546875" style="191" bestFit="1" customWidth="1"/>
    <col min="42" max="42" width="12.88671875" style="191" customWidth="1" collapsed="1"/>
    <col min="43" max="43" width="11.44140625" style="191" hidden="1" customWidth="1" outlineLevel="1"/>
    <col min="44" max="16384" width="11.44140625" style="191"/>
  </cols>
  <sheetData>
    <row r="1" spans="1:45" ht="13.8" thickBot="1">
      <c r="A1" s="913" t="s">
        <v>2015</v>
      </c>
      <c r="W1" s="73"/>
      <c r="AR1" s="73"/>
    </row>
    <row r="2" spans="1:45" ht="28.8" thickBot="1">
      <c r="B2" s="1352" t="s">
        <v>1203</v>
      </c>
      <c r="C2" s="1353"/>
      <c r="D2" s="1353"/>
      <c r="E2" s="1353"/>
      <c r="F2" s="1353"/>
      <c r="G2" s="1353"/>
      <c r="H2" s="1353"/>
      <c r="I2" s="1353"/>
      <c r="J2" s="1353"/>
      <c r="K2" s="1353"/>
      <c r="L2" s="1353"/>
      <c r="M2" s="1353"/>
      <c r="N2" s="1353"/>
      <c r="O2" s="1353"/>
      <c r="P2" s="1353"/>
      <c r="Q2" s="1353"/>
      <c r="R2" s="1353"/>
      <c r="S2" s="1353"/>
      <c r="T2" s="1353"/>
      <c r="U2" s="1353"/>
      <c r="V2" s="1353"/>
      <c r="W2" s="1353"/>
      <c r="X2" s="1353"/>
      <c r="Y2" s="1353"/>
      <c r="Z2" s="1353"/>
      <c r="AA2" s="1353"/>
      <c r="AB2" s="1353"/>
      <c r="AC2" s="1353"/>
      <c r="AD2" s="1353"/>
      <c r="AE2" s="1353"/>
      <c r="AF2" s="1353"/>
      <c r="AG2" s="1353"/>
      <c r="AH2" s="1353"/>
      <c r="AI2" s="1353"/>
      <c r="AJ2" s="1353"/>
      <c r="AK2" s="1353"/>
      <c r="AL2" s="1353"/>
      <c r="AM2" s="1353"/>
      <c r="AN2" s="1353"/>
      <c r="AO2" s="1353"/>
      <c r="AP2" s="1353"/>
      <c r="AQ2" s="1354"/>
      <c r="AR2" s="323"/>
      <c r="AS2" s="73"/>
    </row>
    <row r="3" spans="1:45" ht="13.8" thickBot="1">
      <c r="W3" s="73"/>
      <c r="X3" s="73"/>
      <c r="AR3" s="73"/>
      <c r="AS3" s="73"/>
    </row>
    <row r="4" spans="1:45" ht="16.2" thickBot="1">
      <c r="J4" s="73"/>
      <c r="K4" s="1371" t="s">
        <v>2027</v>
      </c>
      <c r="L4" s="1372"/>
      <c r="M4" s="1372"/>
      <c r="N4" s="1372"/>
      <c r="O4" s="1372"/>
      <c r="P4" s="1372"/>
      <c r="Q4" s="1372"/>
      <c r="R4" s="1372"/>
      <c r="S4" s="1372"/>
      <c r="T4" s="1372"/>
      <c r="U4" s="1372"/>
      <c r="V4" s="1373"/>
      <c r="W4" s="1371" t="s">
        <v>2026</v>
      </c>
      <c r="X4" s="1372"/>
      <c r="Y4" s="1372"/>
      <c r="Z4" s="1372"/>
      <c r="AA4" s="1372"/>
      <c r="AB4" s="1372"/>
      <c r="AC4" s="1372"/>
      <c r="AD4" s="1372"/>
      <c r="AE4" s="1372"/>
      <c r="AF4" s="1372"/>
      <c r="AG4" s="1372"/>
      <c r="AH4" s="1372"/>
      <c r="AI4" s="1372"/>
      <c r="AJ4" s="1372"/>
      <c r="AK4" s="1372"/>
      <c r="AL4" s="1372"/>
      <c r="AM4" s="1372"/>
      <c r="AN4" s="1372"/>
      <c r="AO4" s="1372"/>
      <c r="AP4" s="1372"/>
      <c r="AQ4" s="1373"/>
      <c r="AR4" s="323"/>
      <c r="AS4" s="73"/>
    </row>
    <row r="5" spans="1:45" ht="40.5" customHeight="1" thickBot="1">
      <c r="B5" s="1339" t="s">
        <v>905</v>
      </c>
      <c r="C5" s="1340"/>
      <c r="D5" s="1340"/>
      <c r="E5" s="1340"/>
      <c r="F5" s="1340"/>
      <c r="G5" s="1340"/>
      <c r="H5" s="1340"/>
      <c r="I5" s="1341"/>
      <c r="J5" s="1355" t="s">
        <v>196</v>
      </c>
      <c r="K5" s="1368" t="s">
        <v>916</v>
      </c>
      <c r="L5" s="1369"/>
      <c r="M5" s="1369"/>
      <c r="N5" s="1369"/>
      <c r="O5" s="1369"/>
      <c r="P5" s="1289"/>
      <c r="Q5" s="1369"/>
      <c r="R5" s="1369"/>
      <c r="S5" s="1289"/>
      <c r="T5" s="1369"/>
      <c r="U5" s="1369"/>
      <c r="V5" s="1370"/>
      <c r="W5" s="1368" t="s">
        <v>917</v>
      </c>
      <c r="X5" s="1369"/>
      <c r="Y5" s="1369"/>
      <c r="Z5" s="1369"/>
      <c r="AA5" s="1369"/>
      <c r="AB5" s="1369"/>
      <c r="AC5" s="1369"/>
      <c r="AD5" s="1369"/>
      <c r="AE5" s="1369"/>
      <c r="AF5" s="1369"/>
      <c r="AG5" s="1369"/>
      <c r="AH5" s="1369"/>
      <c r="AI5" s="1369"/>
      <c r="AJ5" s="1369"/>
      <c r="AK5" s="1369"/>
      <c r="AL5" s="1369"/>
      <c r="AM5" s="1369"/>
      <c r="AN5" s="1369"/>
      <c r="AO5" s="1369"/>
      <c r="AP5" s="1369"/>
      <c r="AQ5" s="1370"/>
      <c r="AR5" s="323"/>
      <c r="AS5" s="73"/>
    </row>
    <row r="6" spans="1:45" ht="13.2" customHeight="1">
      <c r="B6" s="1342"/>
      <c r="C6" s="1343"/>
      <c r="D6" s="1343"/>
      <c r="E6" s="1343"/>
      <c r="F6" s="1343"/>
      <c r="G6" s="1343"/>
      <c r="H6" s="1343"/>
      <c r="I6" s="1344"/>
      <c r="J6" s="1356"/>
      <c r="K6" s="1307" t="s">
        <v>1460</v>
      </c>
      <c r="L6" s="1308"/>
      <c r="M6" s="1309"/>
      <c r="N6" s="1348" t="s">
        <v>1461</v>
      </c>
      <c r="O6" s="1308"/>
      <c r="P6" s="1350" t="s">
        <v>2024</v>
      </c>
      <c r="Q6" s="1348" t="s">
        <v>906</v>
      </c>
      <c r="R6" s="1308"/>
      <c r="S6" s="1350" t="s">
        <v>2025</v>
      </c>
      <c r="T6" s="1348" t="s">
        <v>907</v>
      </c>
      <c r="U6" s="1308"/>
      <c r="V6" s="1362"/>
      <c r="W6" s="1364" t="s">
        <v>918</v>
      </c>
      <c r="X6" s="1365"/>
      <c r="Y6" s="1365"/>
      <c r="Z6" s="1365"/>
      <c r="AA6" s="1365"/>
      <c r="AB6" s="1365"/>
      <c r="AC6" s="1365"/>
      <c r="AD6" s="1365"/>
      <c r="AE6" s="1366"/>
      <c r="AF6" s="1367" t="s">
        <v>919</v>
      </c>
      <c r="AG6" s="1365"/>
      <c r="AH6" s="1365"/>
      <c r="AI6" s="1365"/>
      <c r="AJ6" s="1365"/>
      <c r="AK6" s="1365"/>
      <c r="AL6" s="1365"/>
      <c r="AM6" s="1365"/>
      <c r="AN6" s="1366"/>
      <c r="AO6" s="1326" t="s">
        <v>920</v>
      </c>
      <c r="AP6" s="1288"/>
      <c r="AQ6" s="1327"/>
      <c r="AR6" s="323"/>
      <c r="AS6" s="73"/>
    </row>
    <row r="7" spans="1:45" ht="51.75" customHeight="1" thickBot="1">
      <c r="B7" s="1342"/>
      <c r="C7" s="1343"/>
      <c r="D7" s="1343"/>
      <c r="E7" s="1343"/>
      <c r="F7" s="1343"/>
      <c r="G7" s="1343"/>
      <c r="H7" s="1343"/>
      <c r="I7" s="1344"/>
      <c r="J7" s="1356"/>
      <c r="K7" s="1310"/>
      <c r="L7" s="1311"/>
      <c r="M7" s="1312"/>
      <c r="N7" s="1349"/>
      <c r="O7" s="1311"/>
      <c r="P7" s="1351"/>
      <c r="Q7" s="1349"/>
      <c r="R7" s="1311"/>
      <c r="S7" s="1351"/>
      <c r="T7" s="1349"/>
      <c r="U7" s="1311"/>
      <c r="V7" s="1363"/>
      <c r="W7" s="1283" t="s">
        <v>921</v>
      </c>
      <c r="X7" s="1281"/>
      <c r="Y7" s="1281"/>
      <c r="Z7" s="1374" t="s">
        <v>922</v>
      </c>
      <c r="AA7" s="1375"/>
      <c r="AB7" s="1376"/>
      <c r="AC7" s="1374" t="s">
        <v>923</v>
      </c>
      <c r="AD7" s="1375"/>
      <c r="AE7" s="1376"/>
      <c r="AF7" s="1281" t="s">
        <v>924</v>
      </c>
      <c r="AG7" s="1281"/>
      <c r="AH7" s="1281"/>
      <c r="AI7" s="1374" t="s">
        <v>926</v>
      </c>
      <c r="AJ7" s="1375"/>
      <c r="AK7" s="1376"/>
      <c r="AL7" s="1374" t="s">
        <v>925</v>
      </c>
      <c r="AM7" s="1375"/>
      <c r="AN7" s="1376"/>
      <c r="AO7" s="1328"/>
      <c r="AP7" s="1289"/>
      <c r="AQ7" s="1329"/>
      <c r="AR7" s="323"/>
      <c r="AS7" s="73"/>
    </row>
    <row r="8" spans="1:45" ht="13.8" outlineLevel="1" thickBot="1">
      <c r="B8" s="1345"/>
      <c r="C8" s="1346"/>
      <c r="D8" s="1346"/>
      <c r="E8" s="1346"/>
      <c r="F8" s="1346"/>
      <c r="G8" s="1346"/>
      <c r="H8" s="1346"/>
      <c r="I8" s="1347"/>
      <c r="J8" s="1357"/>
      <c r="K8" s="334"/>
      <c r="L8" s="254"/>
      <c r="M8" s="254" t="s">
        <v>196</v>
      </c>
      <c r="N8" s="254"/>
      <c r="O8" s="254"/>
      <c r="P8" s="254" t="s">
        <v>196</v>
      </c>
      <c r="Q8" s="254"/>
      <c r="R8" s="254"/>
      <c r="S8" s="254" t="s">
        <v>196</v>
      </c>
      <c r="T8" s="254"/>
      <c r="U8" s="254"/>
      <c r="V8" s="225" t="s">
        <v>196</v>
      </c>
      <c r="W8" s="326"/>
      <c r="X8" s="208"/>
      <c r="Y8" s="208" t="s">
        <v>196</v>
      </c>
      <c r="Z8" s="208"/>
      <c r="AA8" s="208"/>
      <c r="AB8" s="208" t="s">
        <v>196</v>
      </c>
      <c r="AC8" s="208"/>
      <c r="AD8" s="208"/>
      <c r="AE8" s="208" t="s">
        <v>196</v>
      </c>
      <c r="AF8" s="208"/>
      <c r="AG8" s="208"/>
      <c r="AH8" s="208" t="s">
        <v>196</v>
      </c>
      <c r="AI8" s="208"/>
      <c r="AJ8" s="208"/>
      <c r="AK8" s="208" t="s">
        <v>196</v>
      </c>
      <c r="AL8" s="208"/>
      <c r="AM8" s="208"/>
      <c r="AN8" s="208" t="s">
        <v>196</v>
      </c>
      <c r="AO8" s="208"/>
      <c r="AP8" s="208"/>
      <c r="AQ8" s="209" t="s">
        <v>196</v>
      </c>
      <c r="AR8" s="323"/>
      <c r="AS8" s="73"/>
    </row>
    <row r="9" spans="1:45" ht="21.75" customHeight="1">
      <c r="B9" s="1336" t="s">
        <v>908</v>
      </c>
      <c r="C9" s="1337"/>
      <c r="D9" s="1337"/>
      <c r="E9" s="1337"/>
      <c r="F9" s="1337"/>
      <c r="G9" s="1337"/>
      <c r="H9" s="1338"/>
      <c r="I9" s="525" t="s">
        <v>1213</v>
      </c>
      <c r="J9" s="355"/>
      <c r="K9" s="335" t="s">
        <v>1463</v>
      </c>
      <c r="L9" s="213"/>
      <c r="M9" s="315"/>
      <c r="N9" s="523" t="s">
        <v>1476</v>
      </c>
      <c r="O9" s="228"/>
      <c r="P9" s="315"/>
      <c r="Q9" s="214" t="s">
        <v>1489</v>
      </c>
      <c r="R9" s="228"/>
      <c r="S9" s="315"/>
      <c r="T9" s="214" t="s">
        <v>1502</v>
      </c>
      <c r="U9" s="231">
        <f>L9+O9-R9</f>
        <v>0</v>
      </c>
      <c r="V9" s="376"/>
      <c r="W9" s="327" t="s">
        <v>1515</v>
      </c>
      <c r="X9" s="227"/>
      <c r="Y9" s="366"/>
      <c r="Z9" s="226" t="s">
        <v>1538</v>
      </c>
      <c r="AA9" s="227"/>
      <c r="AB9" s="366"/>
      <c r="AC9" s="214" t="s">
        <v>1539</v>
      </c>
      <c r="AD9" s="228"/>
      <c r="AE9" s="315"/>
      <c r="AF9" s="229" t="s">
        <v>1551</v>
      </c>
      <c r="AG9" s="228"/>
      <c r="AH9" s="315"/>
      <c r="AI9" s="229" t="s">
        <v>1564</v>
      </c>
      <c r="AJ9" s="228"/>
      <c r="AK9" s="315"/>
      <c r="AL9" s="229" t="s">
        <v>1573</v>
      </c>
      <c r="AM9" s="228"/>
      <c r="AN9" s="315"/>
      <c r="AO9" s="229" t="s">
        <v>1574</v>
      </c>
      <c r="AP9" s="230"/>
      <c r="AQ9" s="363"/>
      <c r="AR9" s="323"/>
      <c r="AS9" s="73"/>
    </row>
    <row r="10" spans="1:45" ht="21.75" customHeight="1">
      <c r="B10" s="318" t="s">
        <v>1210</v>
      </c>
      <c r="C10" s="319"/>
      <c r="D10" s="319"/>
      <c r="E10" s="319"/>
      <c r="F10" s="319"/>
      <c r="G10" s="319"/>
      <c r="H10" s="319"/>
      <c r="I10" s="526" t="s">
        <v>1214</v>
      </c>
      <c r="J10" s="356"/>
      <c r="K10" s="336" t="s">
        <v>1464</v>
      </c>
      <c r="L10" s="198"/>
      <c r="M10" s="362"/>
      <c r="N10" s="521" t="s">
        <v>1477</v>
      </c>
      <c r="O10" s="196"/>
      <c r="P10" s="362"/>
      <c r="Q10" s="289" t="s">
        <v>1490</v>
      </c>
      <c r="R10" s="196"/>
      <c r="S10" s="362"/>
      <c r="T10" s="289" t="s">
        <v>1503</v>
      </c>
      <c r="U10" s="194">
        <f>L10+O10-R10</f>
        <v>0</v>
      </c>
      <c r="V10" s="364"/>
      <c r="W10" s="328" t="s">
        <v>1516</v>
      </c>
      <c r="X10" s="218"/>
      <c r="Y10" s="367"/>
      <c r="Z10" s="216" t="s">
        <v>1591</v>
      </c>
      <c r="AA10" s="218"/>
      <c r="AB10" s="367"/>
      <c r="AC10" s="289" t="s">
        <v>1540</v>
      </c>
      <c r="AD10" s="196"/>
      <c r="AE10" s="362"/>
      <c r="AF10" s="199" t="s">
        <v>1552</v>
      </c>
      <c r="AG10" s="196"/>
      <c r="AH10" s="362"/>
      <c r="AI10" s="199" t="s">
        <v>1565</v>
      </c>
      <c r="AJ10" s="196"/>
      <c r="AK10" s="362"/>
      <c r="AL10" s="199" t="s">
        <v>1572</v>
      </c>
      <c r="AM10" s="196"/>
      <c r="AN10" s="362"/>
      <c r="AO10" s="199" t="s">
        <v>1571</v>
      </c>
      <c r="AP10" s="193"/>
      <c r="AQ10" s="364"/>
      <c r="AR10" s="323"/>
      <c r="AS10" s="73"/>
    </row>
    <row r="11" spans="1:45" ht="21.75" customHeight="1">
      <c r="B11" s="1313" t="s">
        <v>13</v>
      </c>
      <c r="C11" s="1314"/>
      <c r="D11" s="1314"/>
      <c r="E11" s="1314"/>
      <c r="F11" s="1314"/>
      <c r="G11" s="1314"/>
      <c r="H11" s="1314"/>
      <c r="I11" s="1315"/>
      <c r="J11" s="357"/>
      <c r="K11" s="336" t="s">
        <v>1465</v>
      </c>
      <c r="L11" s="198"/>
      <c r="M11" s="307"/>
      <c r="N11" s="521" t="s">
        <v>1478</v>
      </c>
      <c r="O11" s="198"/>
      <c r="P11" s="307"/>
      <c r="Q11" s="289" t="s">
        <v>1491</v>
      </c>
      <c r="R11" s="198"/>
      <c r="S11" s="307"/>
      <c r="T11" s="289" t="s">
        <v>1504</v>
      </c>
      <c r="U11" s="194">
        <f>L11+O11-R11</f>
        <v>0</v>
      </c>
      <c r="V11" s="364"/>
      <c r="W11" s="329" t="s">
        <v>1517</v>
      </c>
      <c r="X11" s="219"/>
      <c r="Y11" s="368"/>
      <c r="Z11" s="199" t="s">
        <v>1537</v>
      </c>
      <c r="AA11" s="219"/>
      <c r="AB11" s="368"/>
      <c r="AC11" s="289" t="s">
        <v>1541</v>
      </c>
      <c r="AD11" s="198"/>
      <c r="AE11" s="307"/>
      <c r="AF11" s="199" t="s">
        <v>1553</v>
      </c>
      <c r="AG11" s="198"/>
      <c r="AH11" s="307"/>
      <c r="AI11" s="199" t="s">
        <v>1566</v>
      </c>
      <c r="AJ11" s="198"/>
      <c r="AK11" s="307"/>
      <c r="AL11" s="199" t="s">
        <v>1575</v>
      </c>
      <c r="AM11" s="198"/>
      <c r="AN11" s="307"/>
      <c r="AO11" s="199" t="s">
        <v>1576</v>
      </c>
      <c r="AP11" s="204"/>
      <c r="AQ11" s="373"/>
      <c r="AR11" s="323"/>
      <c r="AS11" s="73"/>
    </row>
    <row r="12" spans="1:45" ht="21.75" customHeight="1">
      <c r="B12" s="1313" t="s">
        <v>14</v>
      </c>
      <c r="C12" s="1314"/>
      <c r="D12" s="1314" t="s">
        <v>881</v>
      </c>
      <c r="E12" s="1314"/>
      <c r="F12" s="1314"/>
      <c r="G12" s="1314"/>
      <c r="H12" s="1314"/>
      <c r="I12" s="1315"/>
      <c r="J12" s="357"/>
      <c r="K12" s="336" t="s">
        <v>1466</v>
      </c>
      <c r="L12" s="198"/>
      <c r="M12" s="307"/>
      <c r="N12" s="521" t="s">
        <v>1479</v>
      </c>
      <c r="O12" s="198"/>
      <c r="P12" s="307"/>
      <c r="Q12" s="289" t="s">
        <v>1492</v>
      </c>
      <c r="R12" s="198"/>
      <c r="S12" s="307"/>
      <c r="T12" s="289" t="s">
        <v>1505</v>
      </c>
      <c r="U12" s="194">
        <f>L12+O12-R12</f>
        <v>0</v>
      </c>
      <c r="V12" s="364"/>
      <c r="W12" s="329" t="s">
        <v>1518</v>
      </c>
      <c r="X12" s="219"/>
      <c r="Y12" s="368"/>
      <c r="Z12" s="199" t="s">
        <v>1536</v>
      </c>
      <c r="AA12" s="219"/>
      <c r="AB12" s="368"/>
      <c r="AC12" s="289" t="s">
        <v>1542</v>
      </c>
      <c r="AD12" s="198"/>
      <c r="AE12" s="307"/>
      <c r="AF12" s="521" t="s">
        <v>1554</v>
      </c>
      <c r="AG12" s="198"/>
      <c r="AH12" s="307"/>
      <c r="AI12" s="199" t="s">
        <v>1567</v>
      </c>
      <c r="AJ12" s="198"/>
      <c r="AK12" s="307"/>
      <c r="AL12" s="199" t="s">
        <v>1577</v>
      </c>
      <c r="AM12" s="198"/>
      <c r="AN12" s="307"/>
      <c r="AO12" s="199" t="s">
        <v>1578</v>
      </c>
      <c r="AP12" s="204"/>
      <c r="AQ12" s="373"/>
      <c r="AR12" s="323"/>
      <c r="AS12" s="73"/>
    </row>
    <row r="13" spans="1:45" ht="21.75" customHeight="1">
      <c r="B13" s="1313"/>
      <c r="C13" s="1314"/>
      <c r="D13" s="1314" t="s">
        <v>882</v>
      </c>
      <c r="E13" s="1314"/>
      <c r="F13" s="1314"/>
      <c r="G13" s="1314"/>
      <c r="H13" s="1314"/>
      <c r="I13" s="1315"/>
      <c r="J13" s="357"/>
      <c r="K13" s="336" t="s">
        <v>1467</v>
      </c>
      <c r="L13" s="198"/>
      <c r="M13" s="307"/>
      <c r="N13" s="521" t="s">
        <v>1480</v>
      </c>
      <c r="O13" s="198"/>
      <c r="P13" s="307"/>
      <c r="Q13" s="289" t="s">
        <v>1493</v>
      </c>
      <c r="R13" s="198"/>
      <c r="S13" s="307"/>
      <c r="T13" s="289" t="s">
        <v>1506</v>
      </c>
      <c r="U13" s="194">
        <f t="shared" ref="U13:U19" si="0">L13+O13-R13</f>
        <v>0</v>
      </c>
      <c r="V13" s="364"/>
      <c r="W13" s="329" t="s">
        <v>1519</v>
      </c>
      <c r="X13" s="219"/>
      <c r="Y13" s="368"/>
      <c r="Z13" s="199" t="s">
        <v>1535</v>
      </c>
      <c r="AA13" s="219"/>
      <c r="AB13" s="368"/>
      <c r="AC13" s="217" t="s">
        <v>1543</v>
      </c>
      <c r="AD13" s="198"/>
      <c r="AE13" s="307"/>
      <c r="AF13" s="199" t="s">
        <v>1555</v>
      </c>
      <c r="AG13" s="198"/>
      <c r="AH13" s="307"/>
      <c r="AI13" s="217" t="s">
        <v>1568</v>
      </c>
      <c r="AJ13" s="198"/>
      <c r="AK13" s="307"/>
      <c r="AL13" s="217" t="s">
        <v>1569</v>
      </c>
      <c r="AM13" s="198"/>
      <c r="AN13" s="307"/>
      <c r="AO13" s="217" t="s">
        <v>1570</v>
      </c>
      <c r="AP13" s="204"/>
      <c r="AQ13" s="373"/>
      <c r="AR13" s="323"/>
      <c r="AS13" s="73"/>
    </row>
    <row r="14" spans="1:45" ht="21.75" customHeight="1">
      <c r="B14" s="1313"/>
      <c r="C14" s="1314"/>
      <c r="D14" s="1316" t="s">
        <v>909</v>
      </c>
      <c r="E14" s="1316"/>
      <c r="F14" s="1316"/>
      <c r="G14" s="1316"/>
      <c r="H14" s="1316"/>
      <c r="I14" s="1317"/>
      <c r="J14" s="358"/>
      <c r="K14" s="336" t="s">
        <v>1468</v>
      </c>
      <c r="L14" s="198"/>
      <c r="M14" s="307"/>
      <c r="N14" s="521" t="s">
        <v>1481</v>
      </c>
      <c r="O14" s="198"/>
      <c r="P14" s="307"/>
      <c r="Q14" s="289" t="s">
        <v>1494</v>
      </c>
      <c r="R14" s="198"/>
      <c r="S14" s="307"/>
      <c r="T14" s="289" t="s">
        <v>1507</v>
      </c>
      <c r="U14" s="194">
        <f t="shared" si="0"/>
        <v>0</v>
      </c>
      <c r="V14" s="364"/>
      <c r="W14" s="330" t="s">
        <v>1520</v>
      </c>
      <c r="X14" s="220"/>
      <c r="Y14" s="369"/>
      <c r="Z14" s="527" t="s">
        <v>1534</v>
      </c>
      <c r="AA14" s="220"/>
      <c r="AB14" s="369"/>
      <c r="AC14" s="289" t="s">
        <v>1544</v>
      </c>
      <c r="AD14" s="198"/>
      <c r="AE14" s="307"/>
      <c r="AF14" s="521" t="s">
        <v>1556</v>
      </c>
      <c r="AG14" s="198"/>
      <c r="AH14" s="307"/>
      <c r="AI14" s="199" t="s">
        <v>1579</v>
      </c>
      <c r="AJ14" s="198"/>
      <c r="AK14" s="307"/>
      <c r="AL14" s="199" t="s">
        <v>1580</v>
      </c>
      <c r="AM14" s="198"/>
      <c r="AN14" s="307"/>
      <c r="AO14" s="199" t="s">
        <v>1581</v>
      </c>
      <c r="AP14" s="204"/>
      <c r="AQ14" s="373"/>
      <c r="AR14" s="323"/>
      <c r="AS14" s="73"/>
    </row>
    <row r="15" spans="1:45" ht="21.75" customHeight="1">
      <c r="B15" s="1321" t="s">
        <v>883</v>
      </c>
      <c r="C15" s="1316"/>
      <c r="D15" s="1316"/>
      <c r="E15" s="1316"/>
      <c r="F15" s="1316"/>
      <c r="G15" s="1316"/>
      <c r="H15" s="1316"/>
      <c r="I15" s="1317"/>
      <c r="J15" s="358"/>
      <c r="K15" s="336" t="s">
        <v>1469</v>
      </c>
      <c r="L15" s="198"/>
      <c r="M15" s="307"/>
      <c r="N15" s="521" t="s">
        <v>1482</v>
      </c>
      <c r="O15" s="198"/>
      <c r="P15" s="307"/>
      <c r="Q15" s="289" t="s">
        <v>1495</v>
      </c>
      <c r="R15" s="198"/>
      <c r="S15" s="307"/>
      <c r="T15" s="289" t="s">
        <v>1508</v>
      </c>
      <c r="U15" s="194">
        <f t="shared" si="0"/>
        <v>0</v>
      </c>
      <c r="V15" s="364"/>
      <c r="W15" s="330" t="s">
        <v>1521</v>
      </c>
      <c r="X15" s="220"/>
      <c r="Y15" s="369"/>
      <c r="Z15" s="527" t="s">
        <v>1533</v>
      </c>
      <c r="AA15" s="220"/>
      <c r="AB15" s="369"/>
      <c r="AC15" s="289" t="s">
        <v>1545</v>
      </c>
      <c r="AD15" s="198"/>
      <c r="AE15" s="307"/>
      <c r="AF15" s="521" t="s">
        <v>1557</v>
      </c>
      <c r="AG15" s="198"/>
      <c r="AH15" s="307"/>
      <c r="AI15" s="199" t="s">
        <v>1582</v>
      </c>
      <c r="AJ15" s="198"/>
      <c r="AK15" s="307"/>
      <c r="AL15" s="199" t="s">
        <v>1583</v>
      </c>
      <c r="AM15" s="198"/>
      <c r="AN15" s="307"/>
      <c r="AO15" s="199" t="s">
        <v>1584</v>
      </c>
      <c r="AP15" s="204"/>
      <c r="AQ15" s="373"/>
      <c r="AR15" s="323"/>
      <c r="AS15" s="73"/>
    </row>
    <row r="16" spans="1:45" ht="21.75" customHeight="1">
      <c r="B16" s="1322" t="s">
        <v>16</v>
      </c>
      <c r="C16" s="1323"/>
      <c r="D16" s="1316" t="s">
        <v>910</v>
      </c>
      <c r="E16" s="1316"/>
      <c r="F16" s="1316"/>
      <c r="G16" s="1316"/>
      <c r="H16" s="1316"/>
      <c r="I16" s="1317"/>
      <c r="J16" s="358"/>
      <c r="K16" s="336" t="s">
        <v>1470</v>
      </c>
      <c r="L16" s="198"/>
      <c r="M16" s="307"/>
      <c r="N16" s="521" t="s">
        <v>1483</v>
      </c>
      <c r="O16" s="198"/>
      <c r="P16" s="307"/>
      <c r="Q16" s="289" t="s">
        <v>1496</v>
      </c>
      <c r="R16" s="198"/>
      <c r="S16" s="307"/>
      <c r="T16" s="289" t="s">
        <v>1509</v>
      </c>
      <c r="U16" s="194">
        <f t="shared" si="0"/>
        <v>0</v>
      </c>
      <c r="V16" s="364"/>
      <c r="W16" s="330" t="s">
        <v>1522</v>
      </c>
      <c r="X16" s="220"/>
      <c r="Y16" s="369"/>
      <c r="Z16" s="527" t="s">
        <v>1532</v>
      </c>
      <c r="AA16" s="220"/>
      <c r="AB16" s="369"/>
      <c r="AC16" s="289" t="s">
        <v>1546</v>
      </c>
      <c r="AD16" s="198"/>
      <c r="AE16" s="307"/>
      <c r="AF16" s="521" t="s">
        <v>1558</v>
      </c>
      <c r="AG16" s="198"/>
      <c r="AH16" s="307"/>
      <c r="AI16" s="199" t="s">
        <v>1593</v>
      </c>
      <c r="AJ16" s="198"/>
      <c r="AK16" s="307"/>
      <c r="AL16" s="199" t="s">
        <v>1594</v>
      </c>
      <c r="AM16" s="198"/>
      <c r="AN16" s="307"/>
      <c r="AO16" s="199" t="s">
        <v>1595</v>
      </c>
      <c r="AP16" s="204"/>
      <c r="AQ16" s="373"/>
      <c r="AR16" s="323"/>
      <c r="AS16" s="73"/>
    </row>
    <row r="17" spans="1:45" ht="21.75" customHeight="1">
      <c r="B17" s="1324"/>
      <c r="C17" s="1323"/>
      <c r="D17" s="1314" t="s">
        <v>884</v>
      </c>
      <c r="E17" s="1314"/>
      <c r="F17" s="1314"/>
      <c r="G17" s="1314"/>
      <c r="H17" s="1314"/>
      <c r="I17" s="1315"/>
      <c r="J17" s="357"/>
      <c r="K17" s="336" t="s">
        <v>1471</v>
      </c>
      <c r="L17" s="198"/>
      <c r="M17" s="307"/>
      <c r="N17" s="521" t="s">
        <v>1484</v>
      </c>
      <c r="O17" s="198"/>
      <c r="P17" s="307"/>
      <c r="Q17" s="289" t="s">
        <v>1497</v>
      </c>
      <c r="R17" s="198"/>
      <c r="S17" s="307"/>
      <c r="T17" s="289" t="s">
        <v>1510</v>
      </c>
      <c r="U17" s="194">
        <f t="shared" si="0"/>
        <v>0</v>
      </c>
      <c r="V17" s="364"/>
      <c r="W17" s="330" t="s">
        <v>1523</v>
      </c>
      <c r="X17" s="220"/>
      <c r="Y17" s="369"/>
      <c r="Z17" s="527" t="s">
        <v>1531</v>
      </c>
      <c r="AA17" s="220"/>
      <c r="AB17" s="369"/>
      <c r="AC17" s="289" t="s">
        <v>1547</v>
      </c>
      <c r="AD17" s="198"/>
      <c r="AE17" s="307"/>
      <c r="AF17" s="521" t="s">
        <v>1559</v>
      </c>
      <c r="AG17" s="198"/>
      <c r="AH17" s="307"/>
      <c r="AI17" s="199" t="s">
        <v>1596</v>
      </c>
      <c r="AJ17" s="198"/>
      <c r="AK17" s="307"/>
      <c r="AL17" s="221" t="s">
        <v>1597</v>
      </c>
      <c r="AM17" s="198"/>
      <c r="AN17" s="307"/>
      <c r="AO17" s="199" t="s">
        <v>1598</v>
      </c>
      <c r="AP17" s="204"/>
      <c r="AQ17" s="373"/>
      <c r="AR17" s="323"/>
      <c r="AS17" s="73"/>
    </row>
    <row r="18" spans="1:45" ht="21.75" customHeight="1">
      <c r="B18" s="1324"/>
      <c r="C18" s="1323"/>
      <c r="D18" s="1316" t="s">
        <v>885</v>
      </c>
      <c r="E18" s="1316"/>
      <c r="F18" s="1316"/>
      <c r="G18" s="1316"/>
      <c r="H18" s="1316"/>
      <c r="I18" s="1317"/>
      <c r="J18" s="358"/>
      <c r="K18" s="336" t="s">
        <v>1472</v>
      </c>
      <c r="L18" s="198"/>
      <c r="M18" s="307"/>
      <c r="N18" s="521" t="s">
        <v>1485</v>
      </c>
      <c r="O18" s="198"/>
      <c r="P18" s="307"/>
      <c r="Q18" s="289" t="s">
        <v>1498</v>
      </c>
      <c r="R18" s="198"/>
      <c r="S18" s="307"/>
      <c r="T18" s="289" t="s">
        <v>1511</v>
      </c>
      <c r="U18" s="194">
        <f t="shared" si="0"/>
        <v>0</v>
      </c>
      <c r="V18" s="364"/>
      <c r="W18" s="330" t="s">
        <v>1524</v>
      </c>
      <c r="X18" s="220"/>
      <c r="Y18" s="369"/>
      <c r="Z18" s="527" t="s">
        <v>1530</v>
      </c>
      <c r="AA18" s="220"/>
      <c r="AB18" s="369"/>
      <c r="AC18" s="289" t="s">
        <v>1548</v>
      </c>
      <c r="AD18" s="198"/>
      <c r="AE18" s="307"/>
      <c r="AF18" s="521" t="s">
        <v>1560</v>
      </c>
      <c r="AG18" s="198"/>
      <c r="AH18" s="307"/>
      <c r="AI18" s="199" t="s">
        <v>1599</v>
      </c>
      <c r="AJ18" s="198"/>
      <c r="AK18" s="307"/>
      <c r="AL18" s="199" t="s">
        <v>1600</v>
      </c>
      <c r="AM18" s="198"/>
      <c r="AN18" s="307"/>
      <c r="AO18" s="199" t="s">
        <v>1601</v>
      </c>
      <c r="AP18" s="204"/>
      <c r="AQ18" s="373"/>
      <c r="AR18" s="323"/>
      <c r="AS18" s="73"/>
    </row>
    <row r="19" spans="1:45" ht="21.75" customHeight="1">
      <c r="B19" s="1324"/>
      <c r="C19" s="1323"/>
      <c r="D19" s="1316" t="s">
        <v>886</v>
      </c>
      <c r="E19" s="1316"/>
      <c r="F19" s="1316"/>
      <c r="G19" s="1316"/>
      <c r="H19" s="1316"/>
      <c r="I19" s="1325"/>
      <c r="J19" s="358"/>
      <c r="K19" s="336" t="s">
        <v>1473</v>
      </c>
      <c r="L19" s="198"/>
      <c r="M19" s="307"/>
      <c r="N19" s="521" t="s">
        <v>1486</v>
      </c>
      <c r="O19" s="198"/>
      <c r="P19" s="307"/>
      <c r="Q19" s="289" t="s">
        <v>1499</v>
      </c>
      <c r="R19" s="198"/>
      <c r="S19" s="307"/>
      <c r="T19" s="289" t="s">
        <v>1512</v>
      </c>
      <c r="U19" s="194">
        <f t="shared" si="0"/>
        <v>0</v>
      </c>
      <c r="V19" s="364"/>
      <c r="W19" s="330" t="s">
        <v>1525</v>
      </c>
      <c r="X19" s="220"/>
      <c r="Y19" s="369"/>
      <c r="Z19" s="527" t="s">
        <v>1529</v>
      </c>
      <c r="AA19" s="220"/>
      <c r="AB19" s="369"/>
      <c r="AC19" s="289" t="s">
        <v>1549</v>
      </c>
      <c r="AD19" s="198"/>
      <c r="AE19" s="307"/>
      <c r="AF19" s="521" t="s">
        <v>1561</v>
      </c>
      <c r="AG19" s="198"/>
      <c r="AH19" s="307"/>
      <c r="AI19" s="199" t="s">
        <v>1586</v>
      </c>
      <c r="AJ19" s="198"/>
      <c r="AK19" s="307"/>
      <c r="AL19" s="199" t="s">
        <v>1587</v>
      </c>
      <c r="AM19" s="198"/>
      <c r="AN19" s="307"/>
      <c r="AO19" s="199" t="s">
        <v>1585</v>
      </c>
      <c r="AP19" s="204"/>
      <c r="AQ19" s="373"/>
      <c r="AR19" s="323"/>
      <c r="AS19" s="73"/>
    </row>
    <row r="20" spans="1:45" ht="21.75" customHeight="1">
      <c r="B20" s="1333" t="s">
        <v>1462</v>
      </c>
      <c r="C20" s="1334"/>
      <c r="D20" s="1334"/>
      <c r="E20" s="1334"/>
      <c r="F20" s="1334"/>
      <c r="G20" s="1334"/>
      <c r="H20" s="1335"/>
      <c r="I20" s="524" t="s">
        <v>1215</v>
      </c>
      <c r="J20" s="359"/>
      <c r="K20" s="336" t="s">
        <v>1474</v>
      </c>
      <c r="L20" s="197">
        <f>SUM(L11:L19)</f>
        <v>0</v>
      </c>
      <c r="M20" s="362"/>
      <c r="N20" s="521" t="s">
        <v>1487</v>
      </c>
      <c r="O20" s="197">
        <f>SUM(O11:O19)</f>
        <v>0</v>
      </c>
      <c r="P20" s="362"/>
      <c r="Q20" s="289" t="s">
        <v>1500</v>
      </c>
      <c r="R20" s="197">
        <f>SUM(R11:R19)</f>
        <v>0</v>
      </c>
      <c r="S20" s="362"/>
      <c r="T20" s="289" t="s">
        <v>1513</v>
      </c>
      <c r="U20" s="194">
        <f>SUM(U11:U19)</f>
        <v>0</v>
      </c>
      <c r="V20" s="364"/>
      <c r="W20" s="331" t="s">
        <v>1526</v>
      </c>
      <c r="X20" s="197">
        <f>SUM(X11:X19)</f>
        <v>0</v>
      </c>
      <c r="Y20" s="275"/>
      <c r="Z20" s="528" t="s">
        <v>1528</v>
      </c>
      <c r="AA20" s="197">
        <f>SUM(AA11:AA19)</f>
        <v>0</v>
      </c>
      <c r="AB20" s="275"/>
      <c r="AC20" s="289" t="s">
        <v>1550</v>
      </c>
      <c r="AD20" s="197">
        <f>SUM(AD11:AD19)</f>
        <v>0</v>
      </c>
      <c r="AE20" s="362"/>
      <c r="AF20" s="521" t="s">
        <v>1562</v>
      </c>
      <c r="AG20" s="197">
        <f>SUM(AG11:AG19)</f>
        <v>0</v>
      </c>
      <c r="AH20" s="362"/>
      <c r="AI20" s="289" t="s">
        <v>1588</v>
      </c>
      <c r="AJ20" s="197">
        <f>SUM(AJ11:AJ19)</f>
        <v>0</v>
      </c>
      <c r="AK20" s="362"/>
      <c r="AL20" s="289" t="s">
        <v>1589</v>
      </c>
      <c r="AM20" s="197">
        <f>SUM(AM11:AM19)</f>
        <v>0</v>
      </c>
      <c r="AN20" s="362"/>
      <c r="AO20" s="289" t="s">
        <v>1590</v>
      </c>
      <c r="AP20" s="194">
        <f>SUM(AP11:AP19)</f>
        <v>0</v>
      </c>
      <c r="AQ20" s="364"/>
      <c r="AR20" s="323"/>
      <c r="AS20" s="73"/>
    </row>
    <row r="21" spans="1:45" ht="21.75" customHeight="1">
      <c r="B21" s="1330" t="s">
        <v>1209</v>
      </c>
      <c r="C21" s="1331"/>
      <c r="D21" s="1331"/>
      <c r="E21" s="1331"/>
      <c r="F21" s="1331"/>
      <c r="G21" s="1331"/>
      <c r="H21" s="1332"/>
      <c r="I21" s="524" t="s">
        <v>1216</v>
      </c>
      <c r="J21" s="360"/>
      <c r="K21" s="337"/>
      <c r="L21" s="325"/>
      <c r="M21" s="325"/>
      <c r="N21" s="325"/>
      <c r="O21" s="325"/>
      <c r="P21" s="325"/>
      <c r="Q21" s="325"/>
      <c r="R21" s="325"/>
      <c r="S21" s="325"/>
      <c r="T21" s="325"/>
      <c r="U21" s="325"/>
      <c r="V21" s="338"/>
      <c r="W21" s="332" t="s">
        <v>1527</v>
      </c>
      <c r="X21" s="303"/>
      <c r="Y21" s="370"/>
      <c r="Z21" s="222"/>
      <c r="AA21" s="222"/>
      <c r="AB21" s="222"/>
      <c r="AC21" s="223"/>
      <c r="AD21" s="224"/>
      <c r="AE21" s="372"/>
      <c r="AF21" s="210" t="s">
        <v>1563</v>
      </c>
      <c r="AG21" s="304"/>
      <c r="AH21" s="372"/>
      <c r="AI21" s="223"/>
      <c r="AJ21" s="224"/>
      <c r="AK21" s="224"/>
      <c r="AL21" s="223"/>
      <c r="AM21" s="224"/>
      <c r="AN21" s="372"/>
      <c r="AO21" s="210" t="s">
        <v>1592</v>
      </c>
      <c r="AP21" s="322"/>
      <c r="AQ21" s="374"/>
      <c r="AR21" s="323"/>
      <c r="AS21" s="73"/>
    </row>
    <row r="22" spans="1:45" ht="21.75" customHeight="1" thickBot="1">
      <c r="A22" s="73"/>
      <c r="B22" s="1318" t="s">
        <v>1212</v>
      </c>
      <c r="C22" s="1319"/>
      <c r="D22" s="1319"/>
      <c r="E22" s="1319"/>
      <c r="F22" s="1319"/>
      <c r="G22" s="1319"/>
      <c r="H22" s="1319"/>
      <c r="I22" s="1320"/>
      <c r="J22" s="361"/>
      <c r="K22" s="339" t="s">
        <v>1475</v>
      </c>
      <c r="L22" s="201">
        <f>L9+L10+L20</f>
        <v>0</v>
      </c>
      <c r="M22" s="308"/>
      <c r="N22" s="200" t="s">
        <v>1488</v>
      </c>
      <c r="O22" s="201">
        <f>O9+O10+O20</f>
        <v>0</v>
      </c>
      <c r="P22" s="308"/>
      <c r="Q22" s="200" t="s">
        <v>1501</v>
      </c>
      <c r="R22" s="201">
        <f>R9+R10+R20</f>
        <v>0</v>
      </c>
      <c r="S22" s="308"/>
      <c r="T22" s="200" t="s">
        <v>1514</v>
      </c>
      <c r="U22" s="202">
        <f>U9+U10+U20</f>
        <v>0</v>
      </c>
      <c r="V22" s="365"/>
      <c r="W22" s="377" t="s">
        <v>927</v>
      </c>
      <c r="X22" s="201">
        <f>X9+X10+X20+X21</f>
        <v>0</v>
      </c>
      <c r="Y22" s="378"/>
      <c r="Z22" s="379" t="s">
        <v>928</v>
      </c>
      <c r="AA22" s="201">
        <f>AA9+AA10+AA20</f>
        <v>0</v>
      </c>
      <c r="AB22" s="378"/>
      <c r="AC22" s="206" t="s">
        <v>929</v>
      </c>
      <c r="AD22" s="201">
        <f>AD9+AD10+AD20</f>
        <v>0</v>
      </c>
      <c r="AE22" s="308"/>
      <c r="AF22" s="206" t="s">
        <v>930</v>
      </c>
      <c r="AG22" s="201">
        <f>AG9+AG10+AG20+AG21</f>
        <v>0</v>
      </c>
      <c r="AH22" s="308"/>
      <c r="AI22" s="206" t="s">
        <v>931</v>
      </c>
      <c r="AJ22" s="201"/>
      <c r="AK22" s="308"/>
      <c r="AL22" s="206" t="s">
        <v>932</v>
      </c>
      <c r="AM22" s="201"/>
      <c r="AN22" s="308"/>
      <c r="AO22" s="206" t="s">
        <v>933</v>
      </c>
      <c r="AP22" s="202">
        <f>AP9+AP10+AP20+AP21</f>
        <v>0</v>
      </c>
      <c r="AQ22" s="374"/>
      <c r="AR22" s="323"/>
      <c r="AS22" s="73"/>
    </row>
    <row r="23" spans="1:45" ht="45.75" customHeight="1" thickBot="1">
      <c r="A23" s="73"/>
      <c r="B23" s="73"/>
      <c r="C23" s="73"/>
      <c r="D23" s="73"/>
      <c r="E23" s="73"/>
      <c r="F23" s="73"/>
      <c r="G23" s="73"/>
      <c r="H23" s="73"/>
      <c r="I23" s="73"/>
      <c r="J23" s="73"/>
      <c r="K23" s="73"/>
      <c r="L23" s="73"/>
      <c r="M23" s="73"/>
      <c r="N23" s="73"/>
      <c r="O23" s="73"/>
      <c r="P23" s="73"/>
      <c r="Q23" s="73"/>
      <c r="R23" s="73"/>
      <c r="S23" s="324"/>
      <c r="V23" s="317"/>
      <c r="W23" s="1306" t="s">
        <v>1211</v>
      </c>
      <c r="X23" s="1302"/>
      <c r="Y23" s="354"/>
      <c r="Z23" s="333" t="s">
        <v>934</v>
      </c>
      <c r="AA23" s="239">
        <f>X22+AA22+AD22</f>
        <v>0</v>
      </c>
      <c r="AB23" s="371"/>
      <c r="AC23" s="1302" t="s">
        <v>937</v>
      </c>
      <c r="AD23" s="1303"/>
      <c r="AE23" s="309"/>
      <c r="AF23" s="320" t="s">
        <v>935</v>
      </c>
      <c r="AG23" s="248">
        <f>AG22+AJ22+AM22</f>
        <v>0</v>
      </c>
      <c r="AH23" s="309"/>
      <c r="AI23" s="248"/>
      <c r="AJ23" s="1304" t="s">
        <v>938</v>
      </c>
      <c r="AK23" s="1305"/>
      <c r="AL23" s="1305"/>
      <c r="AM23" s="1305"/>
      <c r="AN23" s="309"/>
      <c r="AO23" s="320" t="s">
        <v>936</v>
      </c>
      <c r="AP23" s="321">
        <f>AA23-AG23</f>
        <v>0</v>
      </c>
      <c r="AQ23" s="375"/>
      <c r="AR23" s="323"/>
      <c r="AS23" s="73"/>
    </row>
    <row r="24" spans="1:45" ht="14.25" customHeight="1" thickBot="1">
      <c r="A24" s="73"/>
      <c r="B24" s="73"/>
      <c r="C24" s="73"/>
      <c r="D24" s="73"/>
      <c r="E24" s="73"/>
      <c r="F24" s="73"/>
      <c r="G24" s="73"/>
      <c r="H24" s="73"/>
      <c r="I24" s="73"/>
      <c r="J24" s="73"/>
      <c r="K24" s="73"/>
      <c r="L24" s="73"/>
      <c r="M24" s="73"/>
      <c r="N24" s="73"/>
      <c r="O24" s="73"/>
      <c r="P24" s="73"/>
      <c r="Q24" s="73"/>
      <c r="R24" s="73"/>
      <c r="S24" s="73"/>
      <c r="T24" s="73"/>
      <c r="U24" s="73"/>
      <c r="V24" s="73"/>
      <c r="W24" s="73"/>
      <c r="X24" s="73"/>
      <c r="AR24" s="73"/>
      <c r="AS24" s="73"/>
    </row>
    <row r="25" spans="1:45" ht="16.2" thickBot="1">
      <c r="B25" s="1358" t="s">
        <v>911</v>
      </c>
      <c r="C25" s="1359"/>
      <c r="D25" s="1359"/>
      <c r="E25" s="1359"/>
      <c r="F25" s="1359"/>
      <c r="G25" s="1359"/>
      <c r="H25" s="1359"/>
      <c r="I25" s="1359"/>
      <c r="J25" s="1359"/>
      <c r="K25" s="1359"/>
      <c r="L25" s="1360"/>
      <c r="M25" s="1360"/>
      <c r="N25" s="1360"/>
      <c r="O25" s="1360"/>
      <c r="P25" s="1360"/>
      <c r="Q25" s="1360"/>
      <c r="R25" s="1360"/>
      <c r="S25" s="1360"/>
      <c r="T25" s="1360"/>
      <c r="U25" s="1361"/>
      <c r="V25" s="212"/>
      <c r="W25" s="323"/>
      <c r="X25" s="73"/>
    </row>
    <row r="26" spans="1:45" ht="65.25" customHeight="1" collapsed="1" thickBot="1">
      <c r="B26" s="1294" t="s">
        <v>912</v>
      </c>
      <c r="C26" s="1296"/>
      <c r="D26" s="1296"/>
      <c r="E26" s="1296"/>
      <c r="F26" s="1296"/>
      <c r="G26" s="1296"/>
      <c r="H26" s="1296"/>
      <c r="I26" s="1297"/>
      <c r="J26" s="1294" t="s">
        <v>196</v>
      </c>
      <c r="K26" s="341"/>
      <c r="L26" s="1300" t="s">
        <v>913</v>
      </c>
      <c r="M26" s="1292"/>
      <c r="N26" s="1292" t="s">
        <v>876</v>
      </c>
      <c r="O26" s="1292"/>
      <c r="P26" s="1292"/>
      <c r="Q26" s="1292" t="s">
        <v>914</v>
      </c>
      <c r="R26" s="1292"/>
      <c r="S26" s="1292"/>
      <c r="T26" s="1292" t="s">
        <v>915</v>
      </c>
      <c r="U26" s="1292"/>
      <c r="V26" s="1293"/>
      <c r="W26" s="323"/>
      <c r="X26" s="73"/>
    </row>
    <row r="27" spans="1:45" ht="13.8" hidden="1" outlineLevel="1" thickBot="1">
      <c r="B27" s="1295"/>
      <c r="C27" s="1298"/>
      <c r="D27" s="1298"/>
      <c r="E27" s="1298"/>
      <c r="F27" s="1298"/>
      <c r="G27" s="1298"/>
      <c r="H27" s="1298"/>
      <c r="I27" s="1299"/>
      <c r="J27" s="1295"/>
      <c r="K27" s="342"/>
      <c r="L27" s="326"/>
      <c r="M27" s="262" t="s">
        <v>196</v>
      </c>
      <c r="N27" s="1301"/>
      <c r="O27" s="1301"/>
      <c r="P27" s="208" t="s">
        <v>196</v>
      </c>
      <c r="Q27" s="208"/>
      <c r="R27" s="340"/>
      <c r="S27" s="208" t="s">
        <v>196</v>
      </c>
      <c r="T27" s="208"/>
      <c r="U27" s="208"/>
      <c r="V27" s="209" t="s">
        <v>196</v>
      </c>
      <c r="W27" s="323"/>
      <c r="X27" s="73"/>
    </row>
    <row r="28" spans="1:45" ht="24.6" customHeight="1" thickBot="1">
      <c r="B28" s="255" t="s">
        <v>2016</v>
      </c>
      <c r="C28" s="255"/>
      <c r="D28" s="233"/>
      <c r="E28" s="233"/>
      <c r="F28" s="233"/>
      <c r="G28" s="233"/>
      <c r="H28" s="233"/>
      <c r="I28" s="233"/>
      <c r="J28" s="258" t="s">
        <v>1603</v>
      </c>
      <c r="K28" s="380"/>
      <c r="L28" s="672"/>
      <c r="M28" s="670"/>
      <c r="N28" s="664"/>
      <c r="O28" s="668"/>
      <c r="P28" s="666" t="s">
        <v>2018</v>
      </c>
      <c r="Q28" s="646" t="s">
        <v>1901</v>
      </c>
      <c r="R28" s="213"/>
      <c r="S28" s="240" t="s">
        <v>1605</v>
      </c>
      <c r="T28" s="646" t="s">
        <v>1903</v>
      </c>
      <c r="U28" s="215">
        <f>L28+O28-R28</f>
        <v>0</v>
      </c>
      <c r="V28" s="192"/>
      <c r="W28" s="323"/>
      <c r="X28" s="73"/>
    </row>
    <row r="29" spans="1:45" ht="24" customHeight="1" thickBot="1">
      <c r="B29" s="256" t="s">
        <v>2017</v>
      </c>
      <c r="C29" s="256"/>
      <c r="D29" s="257"/>
      <c r="E29" s="257"/>
      <c r="F29" s="257"/>
      <c r="G29" s="257"/>
      <c r="H29" s="257"/>
      <c r="I29" s="257"/>
      <c r="J29" s="259"/>
      <c r="K29" s="381"/>
      <c r="L29" s="673"/>
      <c r="M29" s="671"/>
      <c r="N29" s="665"/>
      <c r="O29" s="669"/>
      <c r="P29" s="667" t="s">
        <v>1602</v>
      </c>
      <c r="Q29" s="206" t="s">
        <v>1902</v>
      </c>
      <c r="R29" s="205"/>
      <c r="S29" s="240" t="s">
        <v>1604</v>
      </c>
      <c r="T29" s="206" t="s">
        <v>1904</v>
      </c>
      <c r="U29" s="207">
        <f>L29+O29-R29</f>
        <v>0</v>
      </c>
      <c r="V29" s="241"/>
      <c r="W29" s="323"/>
      <c r="X29" s="73"/>
    </row>
    <row r="30" spans="1:45">
      <c r="W30" s="73"/>
      <c r="X30" s="73"/>
    </row>
    <row r="31" spans="1:45">
      <c r="W31" s="73"/>
      <c r="X31" s="73"/>
    </row>
  </sheetData>
  <mergeCells count="48">
    <mergeCell ref="B2:AQ2"/>
    <mergeCell ref="J5:J8"/>
    <mergeCell ref="B25:U25"/>
    <mergeCell ref="T6:V7"/>
    <mergeCell ref="W6:AE6"/>
    <mergeCell ref="AF6:AN6"/>
    <mergeCell ref="W5:AQ5"/>
    <mergeCell ref="K5:V5"/>
    <mergeCell ref="K4:V4"/>
    <mergeCell ref="W4:AQ4"/>
    <mergeCell ref="W7:Y7"/>
    <mergeCell ref="Z7:AB7"/>
    <mergeCell ref="AC7:AE7"/>
    <mergeCell ref="AF7:AH7"/>
    <mergeCell ref="AI7:AK7"/>
    <mergeCell ref="AL7:AN7"/>
    <mergeCell ref="AO6:AQ7"/>
    <mergeCell ref="B21:H21"/>
    <mergeCell ref="B20:H20"/>
    <mergeCell ref="B9:H9"/>
    <mergeCell ref="B5:I8"/>
    <mergeCell ref="N6:O7"/>
    <mergeCell ref="P6:P7"/>
    <mergeCell ref="Q6:R7"/>
    <mergeCell ref="S6:S7"/>
    <mergeCell ref="AC23:AD23"/>
    <mergeCell ref="AJ23:AM23"/>
    <mergeCell ref="W23:X23"/>
    <mergeCell ref="K6:M7"/>
    <mergeCell ref="B11:I11"/>
    <mergeCell ref="B12:C14"/>
    <mergeCell ref="D12:I12"/>
    <mergeCell ref="D13:I13"/>
    <mergeCell ref="D14:I14"/>
    <mergeCell ref="B22:I22"/>
    <mergeCell ref="B15:I15"/>
    <mergeCell ref="B16:C19"/>
    <mergeCell ref="D16:I16"/>
    <mergeCell ref="D17:I17"/>
    <mergeCell ref="D18:I18"/>
    <mergeCell ref="D19:I19"/>
    <mergeCell ref="T26:V26"/>
    <mergeCell ref="Q26:S26"/>
    <mergeCell ref="N26:P26"/>
    <mergeCell ref="J26:J27"/>
    <mergeCell ref="B26:I27"/>
    <mergeCell ref="L26:M26"/>
    <mergeCell ref="N27:O27"/>
  </mergeCells>
  <hyperlinks>
    <hyperlink ref="A1" location="Sommaire!A1" display="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Feuil8">
    <tabColor theme="3" tint="0.59999389629810485"/>
    <outlinePr summaryBelow="0" summaryRight="0"/>
  </sheetPr>
  <dimension ref="A1:AE42"/>
  <sheetViews>
    <sheetView showGridLines="0" workbookViewId="0">
      <pane ySplit="5" topLeftCell="A9" activePane="bottomLeft" state="frozen"/>
      <selection activeCell="A3" sqref="A3"/>
      <selection pane="bottomLeft" activeCell="A3" sqref="A3"/>
    </sheetView>
  </sheetViews>
  <sheetFormatPr baseColWidth="10" defaultColWidth="11.44140625" defaultRowHeight="13.2" outlineLevelRow="1" outlineLevelCol="1"/>
  <cols>
    <col min="1" max="1" width="3.33203125" customWidth="1"/>
    <col min="2" max="2" width="3" bestFit="1" customWidth="1"/>
    <col min="3" max="3" width="16.109375" customWidth="1"/>
    <col min="4" max="4" width="15.88671875" customWidth="1"/>
    <col min="5" max="5" width="15.33203125" customWidth="1" collapsed="1"/>
    <col min="6" max="6" width="32.88671875" style="55" hidden="1" customWidth="1" outlineLevel="1"/>
    <col min="7" max="7" width="3.33203125" bestFit="1" customWidth="1"/>
    <col min="8" max="8" width="11.44140625" collapsed="1"/>
    <col min="9" max="9" width="30.109375" style="55" hidden="1" customWidth="1" outlineLevel="1"/>
    <col min="10" max="10" width="3.33203125" bestFit="1" customWidth="1"/>
    <col min="11" max="11" width="11.44140625" collapsed="1"/>
    <col min="12" max="12" width="30.109375" style="55" hidden="1" customWidth="1" outlineLevel="1"/>
    <col min="13" max="13" width="3.33203125" bestFit="1" customWidth="1"/>
    <col min="14" max="14" width="11.44140625" collapsed="1"/>
    <col min="15" max="15" width="30.109375" style="55" hidden="1" customWidth="1" outlineLevel="1"/>
    <col min="16" max="16" width="3.33203125" bestFit="1" customWidth="1"/>
    <col min="17" max="17" width="11.44140625" collapsed="1"/>
    <col min="18" max="18" width="30.109375" style="55" hidden="1" customWidth="1" outlineLevel="1"/>
  </cols>
  <sheetData>
    <row r="1" spans="1:31" ht="13.8" thickBot="1">
      <c r="A1" s="913" t="s">
        <v>2015</v>
      </c>
      <c r="S1" s="154"/>
      <c r="T1" s="154"/>
    </row>
    <row r="2" spans="1:31" ht="28.8" thickBot="1">
      <c r="B2" s="1267" t="s">
        <v>1112</v>
      </c>
      <c r="C2" s="1268"/>
      <c r="D2" s="1268"/>
      <c r="E2" s="1268"/>
      <c r="F2" s="1268"/>
      <c r="G2" s="1268"/>
      <c r="H2" s="1268"/>
      <c r="I2" s="1268"/>
      <c r="J2" s="1268"/>
      <c r="K2" s="1268"/>
      <c r="L2" s="1268"/>
      <c r="M2" s="1268"/>
      <c r="N2" s="1268"/>
      <c r="O2" s="1268"/>
      <c r="P2" s="1268"/>
      <c r="Q2" s="1268"/>
      <c r="R2" s="1269"/>
      <c r="S2" s="211"/>
      <c r="T2" s="154"/>
      <c r="U2" s="55"/>
      <c r="V2" s="55"/>
      <c r="W2" s="55"/>
      <c r="X2" s="55"/>
      <c r="Y2" s="55"/>
      <c r="Z2" s="55"/>
      <c r="AA2" s="55"/>
      <c r="AB2" s="55"/>
      <c r="AC2" s="55"/>
      <c r="AD2" s="55"/>
      <c r="AE2" s="55"/>
    </row>
    <row r="3" spans="1:31" ht="9" customHeight="1" thickBot="1">
      <c r="S3" s="154"/>
      <c r="T3" s="154"/>
    </row>
    <row r="4" spans="1:31" ht="32.4" customHeight="1" thickBot="1">
      <c r="B4" s="1397" t="s">
        <v>945</v>
      </c>
      <c r="C4" s="1355"/>
      <c r="D4" s="1355"/>
      <c r="E4" s="1398"/>
      <c r="F4" s="1326" t="s">
        <v>196</v>
      </c>
      <c r="G4" s="1406" t="s">
        <v>1113</v>
      </c>
      <c r="H4" s="1407"/>
      <c r="I4" s="530" t="s">
        <v>1606</v>
      </c>
      <c r="J4" s="1406" t="s">
        <v>1114</v>
      </c>
      <c r="K4" s="1407"/>
      <c r="L4" s="530" t="s">
        <v>1607</v>
      </c>
      <c r="M4" s="1406" t="s">
        <v>1115</v>
      </c>
      <c r="N4" s="1407"/>
      <c r="O4" s="529" t="s">
        <v>1608</v>
      </c>
      <c r="P4" s="1302" t="s">
        <v>1219</v>
      </c>
      <c r="Q4" s="1302"/>
      <c r="R4" s="1396"/>
      <c r="S4" s="211"/>
      <c r="T4" s="154"/>
    </row>
    <row r="5" spans="1:31" s="55" customFormat="1" ht="13.8" outlineLevel="1" thickBot="1">
      <c r="B5" s="1399"/>
      <c r="C5" s="1357"/>
      <c r="D5" s="1357"/>
      <c r="E5" s="1400"/>
      <c r="F5" s="1401"/>
      <c r="G5" s="287"/>
      <c r="H5" s="287"/>
      <c r="I5" s="287" t="s">
        <v>196</v>
      </c>
      <c r="J5" s="287"/>
      <c r="K5" s="287"/>
      <c r="L5" s="287" t="s">
        <v>196</v>
      </c>
      <c r="M5" s="287"/>
      <c r="N5" s="287"/>
      <c r="O5" s="287" t="s">
        <v>196</v>
      </c>
      <c r="P5" s="287"/>
      <c r="Q5" s="287"/>
      <c r="R5" s="291" t="s">
        <v>196</v>
      </c>
      <c r="S5" s="211"/>
      <c r="T5" s="154"/>
    </row>
    <row r="6" spans="1:31">
      <c r="B6" s="1248" t="s">
        <v>946</v>
      </c>
      <c r="C6" s="1408" t="s">
        <v>947</v>
      </c>
      <c r="D6" s="1408"/>
      <c r="E6" s="1408"/>
      <c r="F6" s="531"/>
      <c r="G6" s="242" t="s">
        <v>948</v>
      </c>
      <c r="H6" s="213"/>
      <c r="I6" s="305"/>
      <c r="J6" s="242" t="s">
        <v>949</v>
      </c>
      <c r="K6" s="213"/>
      <c r="L6" s="305"/>
      <c r="M6" s="242" t="s">
        <v>950</v>
      </c>
      <c r="N6" s="213"/>
      <c r="O6" s="305"/>
      <c r="P6" s="242" t="s">
        <v>951</v>
      </c>
      <c r="Q6" s="245">
        <f>H6+K6-N6</f>
        <v>0</v>
      </c>
      <c r="R6" s="390"/>
      <c r="S6" s="211"/>
      <c r="T6" s="154"/>
    </row>
    <row r="7" spans="1:31">
      <c r="B7" s="1249"/>
      <c r="C7" s="1409" t="s">
        <v>952</v>
      </c>
      <c r="D7" s="1409"/>
      <c r="E7" s="1409"/>
      <c r="F7" s="265"/>
      <c r="G7" s="234" t="s">
        <v>953</v>
      </c>
      <c r="H7" s="198"/>
      <c r="I7" s="307"/>
      <c r="J7" s="234" t="s">
        <v>954</v>
      </c>
      <c r="K7" s="198"/>
      <c r="L7" s="307"/>
      <c r="M7" s="234" t="s">
        <v>955</v>
      </c>
      <c r="N7" s="198"/>
      <c r="O7" s="307"/>
      <c r="P7" s="234" t="s">
        <v>956</v>
      </c>
      <c r="Q7" s="197">
        <f>H7+K7-N7</f>
        <v>0</v>
      </c>
      <c r="R7" s="391"/>
      <c r="S7" s="211"/>
      <c r="T7" s="154"/>
    </row>
    <row r="8" spans="1:31">
      <c r="B8" s="1249"/>
      <c r="C8" s="1409" t="s">
        <v>957</v>
      </c>
      <c r="D8" s="1409"/>
      <c r="E8" s="1409"/>
      <c r="F8" s="265"/>
      <c r="G8" s="234" t="s">
        <v>958</v>
      </c>
      <c r="H8" s="198"/>
      <c r="I8" s="307"/>
      <c r="J8" s="234" t="s">
        <v>959</v>
      </c>
      <c r="K8" s="198"/>
      <c r="L8" s="307"/>
      <c r="M8" s="234" t="s">
        <v>960</v>
      </c>
      <c r="N8" s="198"/>
      <c r="O8" s="307"/>
      <c r="P8" s="234" t="s">
        <v>961</v>
      </c>
      <c r="Q8" s="197">
        <f>H8+K8-N8</f>
        <v>0</v>
      </c>
      <c r="R8" s="391"/>
      <c r="S8" s="211"/>
      <c r="T8" s="154"/>
    </row>
    <row r="9" spans="1:31">
      <c r="B9" s="1249"/>
      <c r="C9" s="1409" t="s">
        <v>962</v>
      </c>
      <c r="D9" s="1409"/>
      <c r="E9" s="1409"/>
      <c r="F9" s="265"/>
      <c r="G9" s="234" t="s">
        <v>963</v>
      </c>
      <c r="H9" s="198"/>
      <c r="I9" s="307"/>
      <c r="J9" s="234" t="s">
        <v>964</v>
      </c>
      <c r="K9" s="198"/>
      <c r="L9" s="307"/>
      <c r="M9" s="234" t="s">
        <v>965</v>
      </c>
      <c r="N9" s="198"/>
      <c r="O9" s="307"/>
      <c r="P9" s="234" t="s">
        <v>966</v>
      </c>
      <c r="Q9" s="197">
        <f>H9+K9-N9</f>
        <v>0</v>
      </c>
      <c r="R9" s="391"/>
      <c r="S9" s="211"/>
      <c r="T9" s="154"/>
    </row>
    <row r="10" spans="1:31">
      <c r="B10" s="1249"/>
      <c r="C10" s="1409" t="s">
        <v>967</v>
      </c>
      <c r="D10" s="1409"/>
      <c r="E10" s="1409"/>
      <c r="F10" s="265"/>
      <c r="G10" s="234" t="s">
        <v>968</v>
      </c>
      <c r="H10" s="198"/>
      <c r="I10" s="307"/>
      <c r="J10" s="234" t="s">
        <v>969</v>
      </c>
      <c r="K10" s="198"/>
      <c r="L10" s="307"/>
      <c r="M10" s="234" t="s">
        <v>970</v>
      </c>
      <c r="N10" s="198"/>
      <c r="O10" s="307"/>
      <c r="P10" s="234" t="s">
        <v>971</v>
      </c>
      <c r="Q10" s="197">
        <f t="shared" ref="Q10:Q35" si="0">H10+K10-N10</f>
        <v>0</v>
      </c>
      <c r="R10" s="391"/>
      <c r="S10" s="211"/>
      <c r="T10" s="154"/>
    </row>
    <row r="11" spans="1:31">
      <c r="B11" s="1249"/>
      <c r="C11" s="1395" t="s">
        <v>972</v>
      </c>
      <c r="D11" s="1421"/>
      <c r="E11" s="1421"/>
      <c r="F11" s="532"/>
      <c r="G11" s="234" t="s">
        <v>973</v>
      </c>
      <c r="H11" s="198"/>
      <c r="I11" s="307"/>
      <c r="J11" s="234" t="s">
        <v>974</v>
      </c>
      <c r="K11" s="198"/>
      <c r="L11" s="307"/>
      <c r="M11" s="234" t="s">
        <v>975</v>
      </c>
      <c r="N11" s="198"/>
      <c r="O11" s="307"/>
      <c r="P11" s="234" t="s">
        <v>976</v>
      </c>
      <c r="Q11" s="197">
        <f t="shared" si="0"/>
        <v>0</v>
      </c>
      <c r="R11" s="391"/>
      <c r="S11" s="211"/>
      <c r="T11" s="154"/>
    </row>
    <row r="12" spans="1:31">
      <c r="B12" s="1249"/>
      <c r="C12" s="1395" t="s">
        <v>977</v>
      </c>
      <c r="D12" s="1421"/>
      <c r="E12" s="1421"/>
      <c r="F12" s="532"/>
      <c r="G12" s="234" t="s">
        <v>978</v>
      </c>
      <c r="H12" s="198"/>
      <c r="I12" s="307"/>
      <c r="J12" s="234" t="s">
        <v>979</v>
      </c>
      <c r="K12" s="198"/>
      <c r="L12" s="307"/>
      <c r="M12" s="234" t="s">
        <v>980</v>
      </c>
      <c r="N12" s="198"/>
      <c r="O12" s="307"/>
      <c r="P12" s="234" t="s">
        <v>981</v>
      </c>
      <c r="Q12" s="197">
        <f t="shared" si="0"/>
        <v>0</v>
      </c>
      <c r="R12" s="391"/>
      <c r="S12" s="211"/>
      <c r="T12" s="154"/>
    </row>
    <row r="13" spans="1:31">
      <c r="B13" s="1249"/>
      <c r="C13" s="1395" t="s">
        <v>982</v>
      </c>
      <c r="D13" s="1395"/>
      <c r="E13" s="1395"/>
      <c r="F13" s="266"/>
      <c r="G13" s="234" t="s">
        <v>983</v>
      </c>
      <c r="H13" s="198"/>
      <c r="I13" s="307"/>
      <c r="J13" s="234" t="s">
        <v>984</v>
      </c>
      <c r="K13" s="198"/>
      <c r="L13" s="307"/>
      <c r="M13" s="234" t="s">
        <v>985</v>
      </c>
      <c r="N13" s="198"/>
      <c r="O13" s="307"/>
      <c r="P13" s="234" t="s">
        <v>986</v>
      </c>
      <c r="Q13" s="197">
        <f t="shared" si="0"/>
        <v>0</v>
      </c>
      <c r="R13" s="391"/>
      <c r="S13" s="211"/>
      <c r="T13" s="154"/>
    </row>
    <row r="14" spans="1:31">
      <c r="B14" s="1249"/>
      <c r="C14" s="1409" t="s">
        <v>987</v>
      </c>
      <c r="D14" s="1409"/>
      <c r="E14" s="1409"/>
      <c r="F14" s="265"/>
      <c r="G14" s="234" t="s">
        <v>988</v>
      </c>
      <c r="H14" s="198"/>
      <c r="I14" s="307"/>
      <c r="J14" s="234" t="s">
        <v>989</v>
      </c>
      <c r="K14" s="198"/>
      <c r="L14" s="307"/>
      <c r="M14" s="234" t="s">
        <v>990</v>
      </c>
      <c r="N14" s="198"/>
      <c r="O14" s="307"/>
      <c r="P14" s="234" t="s">
        <v>991</v>
      </c>
      <c r="Q14" s="197">
        <f t="shared" si="0"/>
        <v>0</v>
      </c>
      <c r="R14" s="391"/>
      <c r="S14" s="211"/>
      <c r="T14" s="154"/>
    </row>
    <row r="15" spans="1:31" ht="13.8" thickBot="1">
      <c r="B15" s="1250"/>
      <c r="C15" s="1404" t="s">
        <v>1297</v>
      </c>
      <c r="D15" s="1405"/>
      <c r="E15" s="1405"/>
      <c r="F15" s="533" t="s">
        <v>1609</v>
      </c>
      <c r="G15" s="235" t="s">
        <v>992</v>
      </c>
      <c r="H15" s="201">
        <f>SUM(H6:H14)</f>
        <v>0</v>
      </c>
      <c r="I15" s="308"/>
      <c r="J15" s="235" t="s">
        <v>993</v>
      </c>
      <c r="K15" s="201">
        <f>SUM(K6:K14)</f>
        <v>0</v>
      </c>
      <c r="L15" s="308" t="s">
        <v>2028</v>
      </c>
      <c r="M15" s="235" t="s">
        <v>994</v>
      </c>
      <c r="N15" s="201">
        <f>SUM(N6:N14)</f>
        <v>0</v>
      </c>
      <c r="O15" s="308" t="s">
        <v>2029</v>
      </c>
      <c r="P15" s="235" t="s">
        <v>995</v>
      </c>
      <c r="Q15" s="201">
        <f>SUM(Q6:Q14)</f>
        <v>0</v>
      </c>
      <c r="R15" s="392"/>
      <c r="S15" s="211"/>
      <c r="T15" s="154"/>
    </row>
    <row r="16" spans="1:31">
      <c r="B16" s="1248" t="s">
        <v>996</v>
      </c>
      <c r="C16" s="1420" t="s">
        <v>997</v>
      </c>
      <c r="D16" s="1420"/>
      <c r="E16" s="1420"/>
      <c r="F16" s="277"/>
      <c r="G16" s="242" t="s">
        <v>998</v>
      </c>
      <c r="H16" s="213"/>
      <c r="I16" s="305"/>
      <c r="J16" s="242" t="s">
        <v>999</v>
      </c>
      <c r="K16" s="213"/>
      <c r="L16" s="305"/>
      <c r="M16" s="242" t="s">
        <v>1000</v>
      </c>
      <c r="N16" s="213"/>
      <c r="O16" s="305"/>
      <c r="P16" s="242" t="s">
        <v>1001</v>
      </c>
      <c r="Q16" s="245">
        <f t="shared" si="0"/>
        <v>0</v>
      </c>
      <c r="R16" s="390"/>
      <c r="S16" s="211"/>
      <c r="T16" s="154"/>
    </row>
    <row r="17" spans="2:20">
      <c r="B17" s="1249"/>
      <c r="C17" s="1395" t="s">
        <v>1002</v>
      </c>
      <c r="D17" s="1395"/>
      <c r="E17" s="1395"/>
      <c r="F17" s="266"/>
      <c r="G17" s="234" t="s">
        <v>1003</v>
      </c>
      <c r="H17" s="198"/>
      <c r="I17" s="307"/>
      <c r="J17" s="236">
        <v>4</v>
      </c>
      <c r="K17" s="198"/>
      <c r="L17" s="307"/>
      <c r="M17" s="234" t="s">
        <v>1004</v>
      </c>
      <c r="N17" s="198"/>
      <c r="O17" s="307"/>
      <c r="P17" s="234" t="s">
        <v>1005</v>
      </c>
      <c r="Q17" s="197">
        <f t="shared" si="0"/>
        <v>0</v>
      </c>
      <c r="R17" s="391"/>
      <c r="S17" s="211"/>
      <c r="T17" s="154"/>
    </row>
    <row r="18" spans="2:20">
      <c r="B18" s="1249"/>
      <c r="C18" s="1395" t="s">
        <v>1006</v>
      </c>
      <c r="D18" s="1395"/>
      <c r="E18" s="1395"/>
      <c r="F18" s="266"/>
      <c r="G18" s="234" t="s">
        <v>1007</v>
      </c>
      <c r="H18" s="198"/>
      <c r="I18" s="307"/>
      <c r="J18" s="234" t="s">
        <v>1008</v>
      </c>
      <c r="K18" s="198"/>
      <c r="L18" s="307"/>
      <c r="M18" s="234" t="s">
        <v>1009</v>
      </c>
      <c r="N18" s="198"/>
      <c r="O18" s="307"/>
      <c r="P18" s="234" t="s">
        <v>1010</v>
      </c>
      <c r="Q18" s="197">
        <f t="shared" si="0"/>
        <v>0</v>
      </c>
      <c r="R18" s="391"/>
      <c r="S18" s="211"/>
      <c r="T18" s="154"/>
    </row>
    <row r="19" spans="2:20">
      <c r="B19" s="1249"/>
      <c r="C19" s="1421" t="s">
        <v>1011</v>
      </c>
      <c r="D19" s="1421"/>
      <c r="E19" s="1421"/>
      <c r="F19" s="532"/>
      <c r="G19" s="234" t="s">
        <v>1012</v>
      </c>
      <c r="H19" s="198"/>
      <c r="I19" s="307"/>
      <c r="J19" s="234" t="s">
        <v>1013</v>
      </c>
      <c r="K19" s="198"/>
      <c r="L19" s="307"/>
      <c r="M19" s="234" t="s">
        <v>1014</v>
      </c>
      <c r="N19" s="198"/>
      <c r="O19" s="307"/>
      <c r="P19" s="234" t="s">
        <v>1015</v>
      </c>
      <c r="Q19" s="197">
        <f t="shared" si="0"/>
        <v>0</v>
      </c>
      <c r="R19" s="391"/>
      <c r="S19" s="211"/>
      <c r="T19" s="154"/>
    </row>
    <row r="20" spans="2:20">
      <c r="B20" s="1249"/>
      <c r="C20" s="1409" t="s">
        <v>1016</v>
      </c>
      <c r="D20" s="1409"/>
      <c r="E20" s="1409"/>
      <c r="F20" s="265"/>
      <c r="G20" s="234" t="s">
        <v>1017</v>
      </c>
      <c r="H20" s="198"/>
      <c r="I20" s="307"/>
      <c r="J20" s="234" t="s">
        <v>1018</v>
      </c>
      <c r="K20" s="198"/>
      <c r="L20" s="307"/>
      <c r="M20" s="234" t="s">
        <v>1019</v>
      </c>
      <c r="N20" s="198"/>
      <c r="O20" s="307"/>
      <c r="P20" s="234" t="s">
        <v>1020</v>
      </c>
      <c r="Q20" s="197">
        <f t="shared" si="0"/>
        <v>0</v>
      </c>
      <c r="R20" s="391"/>
      <c r="S20" s="211"/>
      <c r="T20" s="154"/>
    </row>
    <row r="21" spans="2:20">
      <c r="B21" s="1249"/>
      <c r="C21" s="1395" t="s">
        <v>1021</v>
      </c>
      <c r="D21" s="1395"/>
      <c r="E21" s="1395"/>
      <c r="F21" s="266"/>
      <c r="G21" s="234" t="s">
        <v>1022</v>
      </c>
      <c r="H21" s="198"/>
      <c r="I21" s="307"/>
      <c r="J21" s="234" t="s">
        <v>1023</v>
      </c>
      <c r="K21" s="198"/>
      <c r="L21" s="307"/>
      <c r="M21" s="234" t="s">
        <v>1024</v>
      </c>
      <c r="N21" s="198"/>
      <c r="O21" s="307"/>
      <c r="P21" s="234" t="s">
        <v>1025</v>
      </c>
      <c r="Q21" s="197">
        <f t="shared" si="0"/>
        <v>0</v>
      </c>
      <c r="R21" s="391"/>
      <c r="S21" s="211"/>
      <c r="T21" s="154"/>
    </row>
    <row r="22" spans="2:20">
      <c r="B22" s="1249"/>
      <c r="C22" s="1409" t="s">
        <v>1026</v>
      </c>
      <c r="D22" s="1409"/>
      <c r="E22" s="1409"/>
      <c r="F22" s="265"/>
      <c r="G22" s="234" t="s">
        <v>1027</v>
      </c>
      <c r="H22" s="198"/>
      <c r="I22" s="307"/>
      <c r="J22" s="234" t="s">
        <v>1028</v>
      </c>
      <c r="K22" s="198"/>
      <c r="L22" s="307"/>
      <c r="M22" s="234" t="s">
        <v>1029</v>
      </c>
      <c r="N22" s="198"/>
      <c r="O22" s="307"/>
      <c r="P22" s="234" t="s">
        <v>1030</v>
      </c>
      <c r="Q22" s="197">
        <f t="shared" si="0"/>
        <v>0</v>
      </c>
      <c r="R22" s="391"/>
      <c r="S22" s="211"/>
      <c r="T22" s="154"/>
    </row>
    <row r="23" spans="2:20">
      <c r="B23" s="1249"/>
      <c r="C23" s="1395" t="s">
        <v>1031</v>
      </c>
      <c r="D23" s="1395"/>
      <c r="E23" s="1395"/>
      <c r="F23" s="266"/>
      <c r="G23" s="236">
        <v>5</v>
      </c>
      <c r="H23" s="198"/>
      <c r="I23" s="307"/>
      <c r="J23" s="234" t="s">
        <v>1032</v>
      </c>
      <c r="K23" s="198"/>
      <c r="L23" s="307"/>
      <c r="M23" s="234" t="s">
        <v>1033</v>
      </c>
      <c r="N23" s="198"/>
      <c r="O23" s="307"/>
      <c r="P23" s="234" t="s">
        <v>1034</v>
      </c>
      <c r="Q23" s="197">
        <f t="shared" si="0"/>
        <v>0</v>
      </c>
      <c r="R23" s="391"/>
      <c r="S23" s="211"/>
      <c r="T23" s="154"/>
    </row>
    <row r="24" spans="2:20">
      <c r="B24" s="1249"/>
      <c r="C24" s="1395" t="s">
        <v>1035</v>
      </c>
      <c r="D24" s="1395"/>
      <c r="E24" s="1395"/>
      <c r="F24" s="266"/>
      <c r="G24" s="234" t="s">
        <v>1036</v>
      </c>
      <c r="H24" s="198"/>
      <c r="I24" s="307"/>
      <c r="J24" s="234" t="s">
        <v>1037</v>
      </c>
      <c r="K24" s="198"/>
      <c r="L24" s="307"/>
      <c r="M24" s="234" t="s">
        <v>1038</v>
      </c>
      <c r="N24" s="198"/>
      <c r="O24" s="307"/>
      <c r="P24" s="234" t="s">
        <v>1039</v>
      </c>
      <c r="Q24" s="197">
        <f t="shared" si="0"/>
        <v>0</v>
      </c>
      <c r="R24" s="391"/>
      <c r="S24" s="211"/>
      <c r="T24" s="154"/>
    </row>
    <row r="25" spans="2:20">
      <c r="B25" s="1249"/>
      <c r="C25" s="1395" t="s">
        <v>1040</v>
      </c>
      <c r="D25" s="1395"/>
      <c r="E25" s="1395"/>
      <c r="F25" s="266"/>
      <c r="G25" s="234" t="s">
        <v>1041</v>
      </c>
      <c r="H25" s="198"/>
      <c r="I25" s="307"/>
      <c r="J25" s="234" t="s">
        <v>1042</v>
      </c>
      <c r="K25" s="198"/>
      <c r="L25" s="307"/>
      <c r="M25" s="234" t="s">
        <v>1043</v>
      </c>
      <c r="N25" s="198"/>
      <c r="O25" s="307"/>
      <c r="P25" s="234" t="s">
        <v>1044</v>
      </c>
      <c r="Q25" s="197">
        <f t="shared" si="0"/>
        <v>0</v>
      </c>
      <c r="R25" s="391"/>
      <c r="S25" s="211"/>
      <c r="T25" s="154"/>
    </row>
    <row r="26" spans="2:20">
      <c r="B26" s="1249"/>
      <c r="C26" s="1395" t="s">
        <v>1045</v>
      </c>
      <c r="D26" s="1395"/>
      <c r="E26" s="1395"/>
      <c r="F26" s="266"/>
      <c r="G26" s="234" t="s">
        <v>1046</v>
      </c>
      <c r="H26" s="198"/>
      <c r="I26" s="307"/>
      <c r="J26" s="234" t="s">
        <v>1047</v>
      </c>
      <c r="K26" s="198"/>
      <c r="L26" s="307"/>
      <c r="M26" s="234" t="s">
        <v>1048</v>
      </c>
      <c r="N26" s="198"/>
      <c r="O26" s="307"/>
      <c r="P26" s="234" t="s">
        <v>1049</v>
      </c>
      <c r="Q26" s="197">
        <f t="shared" si="0"/>
        <v>0</v>
      </c>
      <c r="R26" s="391"/>
      <c r="S26" s="211"/>
      <c r="T26" s="154"/>
    </row>
    <row r="27" spans="2:20" ht="13.8" thickBot="1">
      <c r="B27" s="1250"/>
      <c r="C27" s="1404" t="s">
        <v>1298</v>
      </c>
      <c r="D27" s="1405"/>
      <c r="E27" s="1405"/>
      <c r="F27" s="533" t="s">
        <v>1610</v>
      </c>
      <c r="G27" s="235" t="s">
        <v>1050</v>
      </c>
      <c r="H27" s="201">
        <f>SUM(H16:H26)</f>
        <v>0</v>
      </c>
      <c r="I27" s="308"/>
      <c r="J27" s="235" t="s">
        <v>1051</v>
      </c>
      <c r="K27" s="201">
        <f>SUM(K16:K26)</f>
        <v>0</v>
      </c>
      <c r="L27" s="308" t="s">
        <v>2030</v>
      </c>
      <c r="M27" s="235" t="s">
        <v>1052</v>
      </c>
      <c r="N27" s="201">
        <f>SUM(N16:N26)</f>
        <v>0</v>
      </c>
      <c r="O27" s="308" t="s">
        <v>2031</v>
      </c>
      <c r="P27" s="235" t="s">
        <v>1053</v>
      </c>
      <c r="Q27" s="201">
        <f>SUM(Q16:Q26)</f>
        <v>0</v>
      </c>
      <c r="R27" s="392"/>
      <c r="S27" s="211"/>
      <c r="T27" s="154"/>
    </row>
    <row r="28" spans="2:20">
      <c r="B28" s="1393" t="s">
        <v>1054</v>
      </c>
      <c r="C28" s="1416" t="s">
        <v>1055</v>
      </c>
      <c r="D28" s="1377" t="s">
        <v>1056</v>
      </c>
      <c r="E28" s="1378"/>
      <c r="F28" s="534"/>
      <c r="G28" s="242" t="s">
        <v>1057</v>
      </c>
      <c r="H28" s="213"/>
      <c r="I28" s="305"/>
      <c r="J28" s="242" t="s">
        <v>1058</v>
      </c>
      <c r="K28" s="213"/>
      <c r="L28" s="305"/>
      <c r="M28" s="252" t="s">
        <v>1059</v>
      </c>
      <c r="N28" s="213"/>
      <c r="O28" s="305"/>
      <c r="P28" s="252" t="s">
        <v>1060</v>
      </c>
      <c r="Q28" s="245">
        <f t="shared" si="0"/>
        <v>0</v>
      </c>
      <c r="R28" s="390"/>
      <c r="S28" s="211"/>
      <c r="T28" s="154"/>
    </row>
    <row r="29" spans="2:20">
      <c r="B29" s="1249"/>
      <c r="C29" s="1417"/>
      <c r="D29" s="1379" t="s">
        <v>1061</v>
      </c>
      <c r="E29" s="1380"/>
      <c r="F29" s="267"/>
      <c r="G29" s="234" t="s">
        <v>1062</v>
      </c>
      <c r="H29" s="198"/>
      <c r="I29" s="307"/>
      <c r="J29" s="236">
        <v>6</v>
      </c>
      <c r="K29" s="198"/>
      <c r="L29" s="307"/>
      <c r="M29" s="250" t="s">
        <v>1063</v>
      </c>
      <c r="N29" s="198"/>
      <c r="O29" s="307"/>
      <c r="P29" s="250" t="s">
        <v>1064</v>
      </c>
      <c r="Q29" s="197">
        <f t="shared" si="0"/>
        <v>0</v>
      </c>
      <c r="R29" s="391"/>
      <c r="S29" s="211"/>
      <c r="T29" s="154"/>
    </row>
    <row r="30" spans="2:20">
      <c r="B30" s="1249"/>
      <c r="C30" s="1417"/>
      <c r="D30" s="1379" t="s">
        <v>1065</v>
      </c>
      <c r="E30" s="1380"/>
      <c r="F30" s="267"/>
      <c r="G30" s="234" t="s">
        <v>1066</v>
      </c>
      <c r="H30" s="198"/>
      <c r="I30" s="307"/>
      <c r="J30" s="250" t="s">
        <v>1067</v>
      </c>
      <c r="K30" s="198"/>
      <c r="L30" s="307"/>
      <c r="M30" s="250" t="s">
        <v>1068</v>
      </c>
      <c r="N30" s="198"/>
      <c r="O30" s="307"/>
      <c r="P30" s="250" t="s">
        <v>1069</v>
      </c>
      <c r="Q30" s="197">
        <f t="shared" si="0"/>
        <v>0</v>
      </c>
      <c r="R30" s="391"/>
      <c r="S30" s="211"/>
      <c r="T30" s="154"/>
    </row>
    <row r="31" spans="2:20">
      <c r="B31" s="1249"/>
      <c r="C31" s="1417"/>
      <c r="D31" s="1402" t="s">
        <v>1070</v>
      </c>
      <c r="E31" s="1403"/>
      <c r="F31" s="267"/>
      <c r="G31" s="234" t="s">
        <v>1071</v>
      </c>
      <c r="H31" s="198"/>
      <c r="I31" s="307"/>
      <c r="J31" s="234" t="s">
        <v>1072</v>
      </c>
      <c r="K31" s="198"/>
      <c r="L31" s="307"/>
      <c r="M31" s="234" t="s">
        <v>1073</v>
      </c>
      <c r="N31" s="198"/>
      <c r="O31" s="307"/>
      <c r="P31" s="250" t="s">
        <v>1074</v>
      </c>
      <c r="Q31" s="197"/>
      <c r="R31" s="391"/>
      <c r="S31" s="211"/>
      <c r="T31" s="154"/>
    </row>
    <row r="32" spans="2:20">
      <c r="B32" s="1249"/>
      <c r="C32" s="1417"/>
      <c r="D32" s="1394" t="s">
        <v>1075</v>
      </c>
      <c r="E32" s="1395"/>
      <c r="F32" s="266"/>
      <c r="G32" s="250" t="s">
        <v>1076</v>
      </c>
      <c r="H32" s="198"/>
      <c r="I32" s="307"/>
      <c r="J32" s="250" t="s">
        <v>1077</v>
      </c>
      <c r="K32" s="198"/>
      <c r="L32" s="307"/>
      <c r="M32" s="250" t="s">
        <v>1078</v>
      </c>
      <c r="N32" s="198"/>
      <c r="O32" s="307"/>
      <c r="P32" s="250" t="s">
        <v>1079</v>
      </c>
      <c r="Q32" s="197">
        <f t="shared" si="0"/>
        <v>0</v>
      </c>
      <c r="R32" s="391"/>
      <c r="S32" s="211"/>
      <c r="T32" s="154"/>
    </row>
    <row r="33" spans="2:20" ht="15.75" customHeight="1">
      <c r="B33" s="1249"/>
      <c r="C33" s="1380" t="s">
        <v>1080</v>
      </c>
      <c r="D33" s="1380"/>
      <c r="E33" s="1380"/>
      <c r="F33" s="267"/>
      <c r="G33" s="250" t="s">
        <v>1081</v>
      </c>
      <c r="H33" s="198"/>
      <c r="I33" s="307"/>
      <c r="J33" s="250" t="s">
        <v>1082</v>
      </c>
      <c r="K33" s="198"/>
      <c r="L33" s="307"/>
      <c r="M33" s="250" t="s">
        <v>1083</v>
      </c>
      <c r="N33" s="198"/>
      <c r="O33" s="307"/>
      <c r="P33" s="250" t="s">
        <v>1084</v>
      </c>
      <c r="Q33" s="197">
        <f t="shared" si="0"/>
        <v>0</v>
      </c>
      <c r="R33" s="391"/>
      <c r="S33" s="211"/>
      <c r="T33" s="154"/>
    </row>
    <row r="34" spans="2:20" ht="15.75" customHeight="1">
      <c r="B34" s="1249"/>
      <c r="C34" s="1380" t="s">
        <v>1085</v>
      </c>
      <c r="D34" s="1380"/>
      <c r="E34" s="1380"/>
      <c r="F34" s="267"/>
      <c r="G34" s="250" t="s">
        <v>1086</v>
      </c>
      <c r="H34" s="198"/>
      <c r="I34" s="307"/>
      <c r="J34" s="250" t="s">
        <v>1087</v>
      </c>
      <c r="K34" s="198"/>
      <c r="L34" s="307"/>
      <c r="M34" s="250" t="s">
        <v>1088</v>
      </c>
      <c r="N34" s="198"/>
      <c r="O34" s="307"/>
      <c r="P34" s="250" t="s">
        <v>1089</v>
      </c>
      <c r="Q34" s="197">
        <f t="shared" si="0"/>
        <v>0</v>
      </c>
      <c r="R34" s="391"/>
      <c r="S34" s="211"/>
      <c r="T34" s="154"/>
    </row>
    <row r="35" spans="2:20" ht="15.75" customHeight="1">
      <c r="B35" s="1249"/>
      <c r="C35" s="1380" t="s">
        <v>1090</v>
      </c>
      <c r="D35" s="1380"/>
      <c r="E35" s="1380"/>
      <c r="F35" s="267"/>
      <c r="G35" s="250" t="s">
        <v>1091</v>
      </c>
      <c r="H35" s="198"/>
      <c r="I35" s="307"/>
      <c r="J35" s="250" t="s">
        <v>1092</v>
      </c>
      <c r="K35" s="198"/>
      <c r="L35" s="307"/>
      <c r="M35" s="250" t="s">
        <v>1093</v>
      </c>
      <c r="N35" s="198"/>
      <c r="O35" s="307"/>
      <c r="P35" s="250" t="s">
        <v>1094</v>
      </c>
      <c r="Q35" s="197">
        <f t="shared" si="0"/>
        <v>0</v>
      </c>
      <c r="R35" s="391"/>
      <c r="S35" s="211"/>
      <c r="T35" s="154"/>
    </row>
    <row r="36" spans="2:20" ht="15.75" customHeight="1" thickBot="1">
      <c r="B36" s="1250"/>
      <c r="C36" s="1404" t="s">
        <v>1299</v>
      </c>
      <c r="D36" s="1415"/>
      <c r="E36" s="1415"/>
      <c r="F36" s="533" t="s">
        <v>1611</v>
      </c>
      <c r="G36" s="251" t="s">
        <v>1095</v>
      </c>
      <c r="H36" s="201">
        <f>SUM(H28:H35)</f>
        <v>0</v>
      </c>
      <c r="I36" s="308"/>
      <c r="J36" s="251" t="s">
        <v>1096</v>
      </c>
      <c r="K36" s="201">
        <f>SUM(K28:K35)</f>
        <v>0</v>
      </c>
      <c r="L36" s="308" t="s">
        <v>2032</v>
      </c>
      <c r="M36" s="251" t="s">
        <v>1097</v>
      </c>
      <c r="N36" s="201">
        <f>SUM(N28:N35)</f>
        <v>0</v>
      </c>
      <c r="O36" s="308" t="s">
        <v>2033</v>
      </c>
      <c r="P36" s="251" t="s">
        <v>1098</v>
      </c>
      <c r="Q36" s="201">
        <f>SUM(Q28:Q35)</f>
        <v>0</v>
      </c>
      <c r="R36" s="392"/>
      <c r="S36" s="211"/>
      <c r="T36" s="154"/>
    </row>
    <row r="37" spans="2:20" ht="13.8" thickBot="1">
      <c r="B37" s="1418" t="s">
        <v>1300</v>
      </c>
      <c r="C37" s="1419"/>
      <c r="D37" s="1419"/>
      <c r="E37" s="1419"/>
      <c r="F37" s="535"/>
      <c r="G37" s="253" t="s">
        <v>1099</v>
      </c>
      <c r="H37" s="232">
        <f>H15+H27+H36</f>
        <v>0</v>
      </c>
      <c r="I37" s="388"/>
      <c r="J37" s="253" t="s">
        <v>1100</v>
      </c>
      <c r="K37" s="232">
        <f>K15+K27+K36</f>
        <v>0</v>
      </c>
      <c r="L37" s="388"/>
      <c r="M37" s="253" t="s">
        <v>1101</v>
      </c>
      <c r="N37" s="232">
        <f>N15+N27+N36</f>
        <v>0</v>
      </c>
      <c r="O37" s="388"/>
      <c r="P37" s="253" t="s">
        <v>1102</v>
      </c>
      <c r="Q37" s="232">
        <f>Q15+Q27+Q36</f>
        <v>0</v>
      </c>
      <c r="R37" s="393"/>
      <c r="S37" s="211"/>
      <c r="T37" s="154"/>
    </row>
    <row r="38" spans="2:20">
      <c r="B38" s="1384"/>
      <c r="C38" s="1385"/>
      <c r="D38" s="1386"/>
      <c r="E38" s="1381" t="s">
        <v>1116</v>
      </c>
      <c r="F38" s="536"/>
      <c r="G38" s="1410" t="s">
        <v>1103</v>
      </c>
      <c r="H38" s="1411"/>
      <c r="I38" s="389"/>
      <c r="J38" s="252" t="s">
        <v>1104</v>
      </c>
      <c r="K38" s="213"/>
      <c r="L38" s="539" t="s">
        <v>1612</v>
      </c>
      <c r="M38" s="252" t="s">
        <v>1105</v>
      </c>
      <c r="N38" s="213"/>
      <c r="O38" s="539" t="s">
        <v>1615</v>
      </c>
      <c r="P38" s="214"/>
      <c r="Q38" s="213"/>
      <c r="R38" s="394"/>
      <c r="S38" s="211"/>
      <c r="T38" s="154"/>
    </row>
    <row r="39" spans="2:20">
      <c r="B39" s="1387"/>
      <c r="C39" s="1388"/>
      <c r="D39" s="1389"/>
      <c r="E39" s="1382"/>
      <c r="F39" s="537"/>
      <c r="G39" s="1412" t="s">
        <v>1106</v>
      </c>
      <c r="H39" s="1413"/>
      <c r="I39" s="270"/>
      <c r="J39" s="250" t="s">
        <v>1107</v>
      </c>
      <c r="K39" s="198"/>
      <c r="L39" s="540" t="s">
        <v>1613</v>
      </c>
      <c r="M39" s="250" t="s">
        <v>1108</v>
      </c>
      <c r="N39" s="198"/>
      <c r="O39" s="540" t="s">
        <v>1616</v>
      </c>
      <c r="P39" s="195"/>
      <c r="Q39" s="198"/>
      <c r="R39" s="395"/>
      <c r="S39" s="211"/>
      <c r="T39" s="154"/>
    </row>
    <row r="40" spans="2:20" ht="13.8" thickBot="1">
      <c r="B40" s="1390"/>
      <c r="C40" s="1391"/>
      <c r="D40" s="1392"/>
      <c r="E40" s="1383"/>
      <c r="F40" s="538"/>
      <c r="G40" s="1414" t="s">
        <v>1109</v>
      </c>
      <c r="H40" s="1415"/>
      <c r="I40" s="281"/>
      <c r="J40" s="251" t="s">
        <v>1110</v>
      </c>
      <c r="K40" s="205"/>
      <c r="L40" s="541" t="s">
        <v>1614</v>
      </c>
      <c r="M40" s="251" t="s">
        <v>1111</v>
      </c>
      <c r="N40" s="205"/>
      <c r="O40" s="541" t="s">
        <v>1617</v>
      </c>
      <c r="P40" s="244"/>
      <c r="Q40" s="205"/>
      <c r="R40" s="396"/>
      <c r="S40" s="211"/>
      <c r="T40" s="154"/>
    </row>
    <row r="41" spans="2:20">
      <c r="R41" s="154"/>
      <c r="S41" s="154"/>
      <c r="T41" s="154"/>
    </row>
    <row r="42" spans="2:20">
      <c r="S42" s="154"/>
      <c r="T42" s="154"/>
    </row>
  </sheetData>
  <mergeCells count="48">
    <mergeCell ref="C13:E13"/>
    <mergeCell ref="C14:E14"/>
    <mergeCell ref="C8:E8"/>
    <mergeCell ref="C9:E9"/>
    <mergeCell ref="C10:E10"/>
    <mergeCell ref="C11:E11"/>
    <mergeCell ref="C12:E12"/>
    <mergeCell ref="G38:H38"/>
    <mergeCell ref="G39:H39"/>
    <mergeCell ref="G40:H40"/>
    <mergeCell ref="C25:E25"/>
    <mergeCell ref="C26:E26"/>
    <mergeCell ref="C28:C32"/>
    <mergeCell ref="C36:E36"/>
    <mergeCell ref="B37:E37"/>
    <mergeCell ref="B16:B27"/>
    <mergeCell ref="C16:E16"/>
    <mergeCell ref="C17:E17"/>
    <mergeCell ref="C18:E18"/>
    <mergeCell ref="C19:E19"/>
    <mergeCell ref="C20:E20"/>
    <mergeCell ref="C21:E21"/>
    <mergeCell ref="C22:E22"/>
    <mergeCell ref="B2:R2"/>
    <mergeCell ref="P4:R4"/>
    <mergeCell ref="B4:E5"/>
    <mergeCell ref="F4:F5"/>
    <mergeCell ref="D31:E31"/>
    <mergeCell ref="C23:E23"/>
    <mergeCell ref="C24:E24"/>
    <mergeCell ref="C27:E27"/>
    <mergeCell ref="D30:E30"/>
    <mergeCell ref="G4:H4"/>
    <mergeCell ref="J4:K4"/>
    <mergeCell ref="M4:N4"/>
    <mergeCell ref="C15:E15"/>
    <mergeCell ref="B6:B15"/>
    <mergeCell ref="C6:E6"/>
    <mergeCell ref="C7:E7"/>
    <mergeCell ref="D28:E28"/>
    <mergeCell ref="D29:E29"/>
    <mergeCell ref="C34:E34"/>
    <mergeCell ref="C35:E35"/>
    <mergeCell ref="E38:E40"/>
    <mergeCell ref="B38:D40"/>
    <mergeCell ref="B28:B36"/>
    <mergeCell ref="D32:E32"/>
    <mergeCell ref="C33:E33"/>
  </mergeCells>
  <hyperlinks>
    <hyperlink ref="A1" location="Sommaire!A1" display="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Feuil9">
    <tabColor theme="3" tint="0.59999389629810485"/>
    <outlinePr summaryBelow="0" summaryRight="0"/>
  </sheetPr>
  <dimension ref="A1:U48"/>
  <sheetViews>
    <sheetView showGridLines="0" zoomScale="90" zoomScaleNormal="90" workbookViewId="0">
      <pane ySplit="1" topLeftCell="A21" activePane="bottomLeft" state="frozen"/>
      <selection pane="bottomLeft"/>
    </sheetView>
  </sheetViews>
  <sheetFormatPr baseColWidth="10" defaultColWidth="11.44140625" defaultRowHeight="13.2" outlineLevelRow="1" outlineLevelCol="1"/>
  <cols>
    <col min="1" max="1" width="3.5546875" customWidth="1"/>
    <col min="2" max="2" width="13.109375" bestFit="1" customWidth="1"/>
    <col min="6" max="6" width="17.33203125" customWidth="1" collapsed="1"/>
    <col min="7" max="7" width="27.5546875" style="55" hidden="1" customWidth="1" outlineLevel="1"/>
    <col min="8" max="8" width="3.5546875" bestFit="1" customWidth="1"/>
    <col min="9" max="9" width="16" customWidth="1" collapsed="1"/>
    <col min="10" max="10" width="28.88671875" style="55" hidden="1" customWidth="1" outlineLevel="1"/>
    <col min="11" max="11" width="3.33203125" bestFit="1" customWidth="1"/>
    <col min="12" max="12" width="13.6640625" customWidth="1" collapsed="1"/>
    <col min="13" max="13" width="26.33203125" hidden="1" customWidth="1" outlineLevel="1"/>
    <col min="14" max="14" width="3.109375" bestFit="1" customWidth="1"/>
    <col min="15" max="15" width="13.6640625" customWidth="1" collapsed="1"/>
    <col min="16" max="16" width="25.5546875" style="55" hidden="1" customWidth="1" outlineLevel="1"/>
    <col min="17" max="17" width="3.44140625" bestFit="1" customWidth="1"/>
    <col min="18" max="18" width="13.6640625" customWidth="1" collapsed="1"/>
    <col min="19" max="19" width="31.44140625" style="55" hidden="1" customWidth="1" outlineLevel="1"/>
  </cols>
  <sheetData>
    <row r="1" spans="1:21" ht="14.4" thickBot="1">
      <c r="A1" s="981" t="s">
        <v>2015</v>
      </c>
      <c r="T1" s="154"/>
      <c r="U1" s="55"/>
    </row>
    <row r="2" spans="1:21" ht="28.8" thickBot="1">
      <c r="B2" s="1267" t="s">
        <v>1195</v>
      </c>
      <c r="C2" s="1268"/>
      <c r="D2" s="1268"/>
      <c r="E2" s="1268"/>
      <c r="F2" s="1268"/>
      <c r="G2" s="1268"/>
      <c r="H2" s="1268"/>
      <c r="I2" s="1268"/>
      <c r="J2" s="1268"/>
      <c r="K2" s="1268"/>
      <c r="L2" s="1268"/>
      <c r="M2" s="1268"/>
      <c r="N2" s="1268"/>
      <c r="O2" s="1268"/>
      <c r="P2" s="1268"/>
      <c r="Q2" s="1268"/>
      <c r="R2" s="1268"/>
      <c r="S2" s="1269"/>
      <c r="T2" s="211"/>
      <c r="U2" s="154"/>
    </row>
    <row r="3" spans="1:21" ht="13.8" thickBot="1">
      <c r="T3" s="154"/>
      <c r="U3" s="55"/>
    </row>
    <row r="4" spans="1:21" ht="23.25" customHeight="1" collapsed="1" thickBot="1">
      <c r="B4" s="1425" t="s">
        <v>873</v>
      </c>
      <c r="C4" s="1426"/>
      <c r="D4" s="1426"/>
      <c r="E4" s="1426" t="s">
        <v>1117</v>
      </c>
      <c r="F4" s="1426"/>
      <c r="G4" s="1426"/>
      <c r="H4" s="1426"/>
      <c r="I4" s="1426"/>
      <c r="J4" s="1292" t="s">
        <v>196</v>
      </c>
      <c r="K4" s="1292" t="s">
        <v>1199</v>
      </c>
      <c r="L4" s="1292"/>
      <c r="M4" s="1292"/>
      <c r="N4" s="1292" t="s">
        <v>1201</v>
      </c>
      <c r="O4" s="1292"/>
      <c r="P4" s="1292"/>
      <c r="Q4" s="1292" t="s">
        <v>1200</v>
      </c>
      <c r="R4" s="1292"/>
      <c r="S4" s="1293"/>
      <c r="T4" s="211"/>
      <c r="U4" s="154"/>
    </row>
    <row r="5" spans="1:21" s="55" customFormat="1" ht="15.75" hidden="1" customHeight="1" outlineLevel="1" thickBot="1">
      <c r="B5" s="1427"/>
      <c r="C5" s="1428"/>
      <c r="D5" s="1428"/>
      <c r="E5" s="1428"/>
      <c r="F5" s="1428"/>
      <c r="G5" s="1428"/>
      <c r="H5" s="1428"/>
      <c r="I5" s="1428"/>
      <c r="J5" s="1454"/>
      <c r="K5" s="293"/>
      <c r="L5" s="293"/>
      <c r="M5" s="293" t="s">
        <v>196</v>
      </c>
      <c r="N5" s="293"/>
      <c r="O5" s="293"/>
      <c r="P5" s="293" t="s">
        <v>196</v>
      </c>
      <c r="Q5" s="293"/>
      <c r="R5" s="293"/>
      <c r="S5" s="263" t="s">
        <v>196</v>
      </c>
      <c r="T5" s="211"/>
      <c r="U5" s="154"/>
    </row>
    <row r="6" spans="1:21" ht="15.75" customHeight="1">
      <c r="B6" s="1300" t="s">
        <v>1118</v>
      </c>
      <c r="C6" s="1442" t="s">
        <v>21</v>
      </c>
      <c r="D6" s="1442"/>
      <c r="E6" s="1442"/>
      <c r="F6" s="1442"/>
      <c r="G6" s="1442"/>
      <c r="H6" s="1442"/>
      <c r="I6" s="1442"/>
      <c r="J6" s="277"/>
      <c r="K6" s="214" t="s">
        <v>1119</v>
      </c>
      <c r="L6" s="299"/>
      <c r="M6" s="278"/>
      <c r="N6" s="214" t="s">
        <v>1120</v>
      </c>
      <c r="O6" s="213"/>
      <c r="P6" s="279"/>
      <c r="Q6" s="214" t="s">
        <v>1121</v>
      </c>
      <c r="R6" s="213"/>
      <c r="S6" s="403"/>
      <c r="T6" s="211"/>
      <c r="U6" s="154"/>
    </row>
    <row r="7" spans="1:21" ht="15.75" customHeight="1">
      <c r="B7" s="1283"/>
      <c r="C7" s="1264" t="s">
        <v>1122</v>
      </c>
      <c r="D7" s="1264"/>
      <c r="E7" s="1264"/>
      <c r="F7" s="1264"/>
      <c r="G7" s="1264"/>
      <c r="H7" s="1264"/>
      <c r="I7" s="1264"/>
      <c r="J7" s="265"/>
      <c r="K7" s="289" t="s">
        <v>1123</v>
      </c>
      <c r="L7" s="300"/>
      <c r="M7" s="268"/>
      <c r="N7" s="289" t="s">
        <v>1124</v>
      </c>
      <c r="O7" s="198"/>
      <c r="P7" s="271"/>
      <c r="Q7" s="289" t="s">
        <v>1125</v>
      </c>
      <c r="R7" s="198"/>
      <c r="S7" s="404"/>
      <c r="T7" s="211"/>
      <c r="U7" s="154"/>
    </row>
    <row r="8" spans="1:21" ht="15.75" customHeight="1" thickBot="1">
      <c r="B8" s="1429"/>
      <c r="C8" s="1433" t="s">
        <v>1126</v>
      </c>
      <c r="D8" s="1433"/>
      <c r="E8" s="1433"/>
      <c r="F8" s="1433"/>
      <c r="G8" s="1433"/>
      <c r="H8" s="1433"/>
      <c r="I8" s="1433"/>
      <c r="J8" s="542" t="s">
        <v>1618</v>
      </c>
      <c r="K8" s="206" t="s">
        <v>1127</v>
      </c>
      <c r="L8" s="205"/>
      <c r="M8" s="397"/>
      <c r="N8" s="206" t="s">
        <v>1128</v>
      </c>
      <c r="O8" s="205"/>
      <c r="P8" s="398"/>
      <c r="Q8" s="206" t="s">
        <v>1129</v>
      </c>
      <c r="R8" s="205"/>
      <c r="S8" s="405"/>
      <c r="T8" s="211"/>
      <c r="U8" s="154"/>
    </row>
    <row r="9" spans="1:21" ht="15.75" customHeight="1">
      <c r="B9" s="1455" t="s">
        <v>1130</v>
      </c>
      <c r="C9" s="1442" t="s">
        <v>36</v>
      </c>
      <c r="D9" s="1442"/>
      <c r="E9" s="1442"/>
      <c r="F9" s="1442"/>
      <c r="G9" s="1442"/>
      <c r="H9" s="1442"/>
      <c r="I9" s="1442"/>
      <c r="J9" s="277"/>
      <c r="K9" s="214" t="s">
        <v>1131</v>
      </c>
      <c r="L9" s="213"/>
      <c r="M9" s="406"/>
      <c r="N9" s="399"/>
      <c r="O9" s="400"/>
      <c r="P9" s="401"/>
      <c r="Q9" s="399"/>
      <c r="R9" s="400"/>
      <c r="S9" s="407"/>
      <c r="T9" s="211"/>
      <c r="U9" s="154"/>
    </row>
    <row r="10" spans="1:21" ht="15.75" customHeight="1">
      <c r="B10" s="1456"/>
      <c r="C10" s="1264" t="s">
        <v>1132</v>
      </c>
      <c r="D10" s="1264"/>
      <c r="E10" s="1264"/>
      <c r="F10" s="1264"/>
      <c r="G10" s="1264"/>
      <c r="H10" s="1264"/>
      <c r="I10" s="1264"/>
      <c r="J10" s="265"/>
      <c r="K10" s="289" t="s">
        <v>1133</v>
      </c>
      <c r="L10" s="198"/>
      <c r="M10" s="269"/>
      <c r="N10" s="289"/>
      <c r="O10" s="302"/>
      <c r="P10" s="273"/>
      <c r="Q10" s="261"/>
      <c r="R10" s="301"/>
      <c r="S10" s="408"/>
      <c r="T10" s="211"/>
      <c r="U10" s="154"/>
    </row>
    <row r="11" spans="1:21" ht="53.25" customHeight="1">
      <c r="B11" s="1456"/>
      <c r="C11" s="1422" t="s">
        <v>1134</v>
      </c>
      <c r="D11" s="1422"/>
      <c r="E11" s="1422"/>
      <c r="F11" s="296" t="s">
        <v>1221</v>
      </c>
      <c r="G11" s="296"/>
      <c r="H11" s="289" t="s">
        <v>1135</v>
      </c>
      <c r="I11" s="288"/>
      <c r="J11" s="265"/>
      <c r="K11" s="289" t="s">
        <v>1136</v>
      </c>
      <c r="L11" s="198"/>
      <c r="M11" s="269"/>
      <c r="N11" s="261"/>
      <c r="O11" s="301"/>
      <c r="P11" s="272"/>
      <c r="Q11" s="261"/>
      <c r="R11" s="301"/>
      <c r="S11" s="408"/>
      <c r="T11" s="211"/>
      <c r="U11" s="154"/>
    </row>
    <row r="12" spans="1:21" ht="15.75" customHeight="1">
      <c r="B12" s="1456"/>
      <c r="C12" s="1264" t="s">
        <v>1137</v>
      </c>
      <c r="D12" s="1264"/>
      <c r="E12" s="1264"/>
      <c r="F12" s="1264"/>
      <c r="G12" s="1264"/>
      <c r="H12" s="1264"/>
      <c r="I12" s="1264"/>
      <c r="J12" s="265"/>
      <c r="K12" s="289" t="s">
        <v>1138</v>
      </c>
      <c r="L12" s="198"/>
      <c r="M12" s="269"/>
      <c r="N12" s="261"/>
      <c r="O12" s="301"/>
      <c r="P12" s="272"/>
      <c r="Q12" s="261"/>
      <c r="R12" s="301"/>
      <c r="S12" s="408"/>
      <c r="T12" s="211"/>
      <c r="U12" s="154"/>
    </row>
    <row r="13" spans="1:21" ht="15.75" customHeight="1">
      <c r="B13" s="1456"/>
      <c r="C13" s="1264" t="s">
        <v>1139</v>
      </c>
      <c r="D13" s="1264"/>
      <c r="E13" s="1264"/>
      <c r="F13" s="1264"/>
      <c r="G13" s="1264"/>
      <c r="H13" s="1264"/>
      <c r="I13" s="1264"/>
      <c r="J13" s="265"/>
      <c r="K13" s="289" t="s">
        <v>1140</v>
      </c>
      <c r="L13" s="198"/>
      <c r="M13" s="269"/>
      <c r="N13" s="261"/>
      <c r="O13" s="301"/>
      <c r="P13" s="272"/>
      <c r="Q13" s="261"/>
      <c r="R13" s="301"/>
      <c r="S13" s="408"/>
      <c r="T13" s="211"/>
      <c r="U13" s="154"/>
    </row>
    <row r="14" spans="1:21" ht="15.75" customHeight="1">
      <c r="B14" s="1456"/>
      <c r="C14" s="1266" t="s">
        <v>1141</v>
      </c>
      <c r="D14" s="1266"/>
      <c r="E14" s="1264" t="s">
        <v>1142</v>
      </c>
      <c r="F14" s="1264"/>
      <c r="G14" s="1264"/>
      <c r="H14" s="1264"/>
      <c r="I14" s="1264"/>
      <c r="J14" s="265"/>
      <c r="K14" s="289" t="s">
        <v>1143</v>
      </c>
      <c r="L14" s="198"/>
      <c r="M14" s="269"/>
      <c r="N14" s="261"/>
      <c r="O14" s="301"/>
      <c r="P14" s="272"/>
      <c r="Q14" s="261"/>
      <c r="R14" s="301"/>
      <c r="S14" s="408"/>
      <c r="T14" s="211"/>
      <c r="U14" s="154"/>
    </row>
    <row r="15" spans="1:21" ht="15.75" customHeight="1">
      <c r="B15" s="1456"/>
      <c r="C15" s="1266"/>
      <c r="D15" s="1266"/>
      <c r="E15" s="1264" t="s">
        <v>1144</v>
      </c>
      <c r="F15" s="1264"/>
      <c r="G15" s="1264"/>
      <c r="H15" s="1264"/>
      <c r="I15" s="1264"/>
      <c r="J15" s="265"/>
      <c r="K15" s="289" t="s">
        <v>1145</v>
      </c>
      <c r="L15" s="198"/>
      <c r="M15" s="269"/>
      <c r="N15" s="261"/>
      <c r="O15" s="301"/>
      <c r="P15" s="272"/>
      <c r="Q15" s="261"/>
      <c r="R15" s="301"/>
      <c r="S15" s="408"/>
      <c r="T15" s="211"/>
      <c r="U15" s="154"/>
    </row>
    <row r="16" spans="1:21" ht="15.75" customHeight="1">
      <c r="B16" s="1456"/>
      <c r="C16" s="1266"/>
      <c r="D16" s="1266"/>
      <c r="E16" s="1264" t="s">
        <v>67</v>
      </c>
      <c r="F16" s="1264"/>
      <c r="G16" s="1264"/>
      <c r="H16" s="1264"/>
      <c r="I16" s="1264"/>
      <c r="J16" s="265"/>
      <c r="K16" s="289" t="s">
        <v>1146</v>
      </c>
      <c r="L16" s="198"/>
      <c r="M16" s="269"/>
      <c r="N16" s="261"/>
      <c r="O16" s="301"/>
      <c r="P16" s="272"/>
      <c r="Q16" s="261"/>
      <c r="R16" s="301"/>
      <c r="S16" s="408"/>
      <c r="T16" s="211"/>
      <c r="U16" s="154"/>
    </row>
    <row r="17" spans="2:21" ht="15.75" customHeight="1">
      <c r="B17" s="1456"/>
      <c r="C17" s="1266"/>
      <c r="D17" s="1266"/>
      <c r="E17" s="1264" t="s">
        <v>38</v>
      </c>
      <c r="F17" s="1264"/>
      <c r="G17" s="1264"/>
      <c r="H17" s="1264"/>
      <c r="I17" s="1264"/>
      <c r="J17" s="265"/>
      <c r="K17" s="289" t="s">
        <v>1147</v>
      </c>
      <c r="L17" s="198"/>
      <c r="M17" s="269"/>
      <c r="N17" s="261"/>
      <c r="O17" s="301"/>
      <c r="P17" s="272"/>
      <c r="Q17" s="261"/>
      <c r="R17" s="301"/>
      <c r="S17" s="408"/>
      <c r="T17" s="211"/>
      <c r="U17" s="154"/>
    </row>
    <row r="18" spans="2:21" ht="15.75" customHeight="1">
      <c r="B18" s="1456"/>
      <c r="C18" s="1264" t="s">
        <v>1148</v>
      </c>
      <c r="D18" s="1264"/>
      <c r="E18" s="1264"/>
      <c r="F18" s="1264"/>
      <c r="G18" s="1264"/>
      <c r="H18" s="1264"/>
      <c r="I18" s="1264"/>
      <c r="J18" s="265"/>
      <c r="K18" s="289" t="s">
        <v>1149</v>
      </c>
      <c r="L18" s="198"/>
      <c r="M18" s="269"/>
      <c r="N18" s="261"/>
      <c r="O18" s="301"/>
      <c r="P18" s="272"/>
      <c r="Q18" s="261"/>
      <c r="R18" s="301"/>
      <c r="S18" s="408"/>
      <c r="T18" s="211"/>
      <c r="U18" s="154"/>
    </row>
    <row r="19" spans="2:21" ht="15.75" customHeight="1">
      <c r="B19" s="1456"/>
      <c r="C19" s="1422" t="s">
        <v>1150</v>
      </c>
      <c r="D19" s="1422"/>
      <c r="E19" s="1422"/>
      <c r="F19" s="1422"/>
      <c r="G19" s="1422"/>
      <c r="H19" s="1422"/>
      <c r="I19" s="1422"/>
      <c r="J19" s="266"/>
      <c r="K19" s="289" t="s">
        <v>1151</v>
      </c>
      <c r="L19" s="198"/>
      <c r="M19" s="269"/>
      <c r="N19" s="261"/>
      <c r="O19" s="301"/>
      <c r="P19" s="272"/>
      <c r="Q19" s="261"/>
      <c r="R19" s="301"/>
      <c r="S19" s="408"/>
      <c r="T19" s="211"/>
      <c r="U19" s="154"/>
    </row>
    <row r="20" spans="2:21" ht="15.75" customHeight="1">
      <c r="B20" s="1456"/>
      <c r="C20" s="1422" t="s">
        <v>1152</v>
      </c>
      <c r="D20" s="1422"/>
      <c r="E20" s="1422"/>
      <c r="F20" s="1422"/>
      <c r="G20" s="1422"/>
      <c r="H20" s="1422"/>
      <c r="I20" s="1422"/>
      <c r="J20" s="266"/>
      <c r="K20" s="289" t="s">
        <v>1153</v>
      </c>
      <c r="L20" s="198"/>
      <c r="M20" s="269"/>
      <c r="N20" s="261"/>
      <c r="O20" s="301"/>
      <c r="P20" s="272"/>
      <c r="Q20" s="261"/>
      <c r="R20" s="301"/>
      <c r="S20" s="408"/>
      <c r="T20" s="211"/>
      <c r="U20" s="154"/>
    </row>
    <row r="21" spans="2:21" ht="15.75" customHeight="1" thickBot="1">
      <c r="B21" s="1457"/>
      <c r="C21" s="1253" t="s">
        <v>1220</v>
      </c>
      <c r="D21" s="1253"/>
      <c r="E21" s="1253"/>
      <c r="F21" s="1253"/>
      <c r="G21" s="1253"/>
      <c r="H21" s="1253"/>
      <c r="I21" s="1253"/>
      <c r="J21" s="402"/>
      <c r="K21" s="206" t="s">
        <v>1155</v>
      </c>
      <c r="L21" s="201">
        <f>SUM(L6:M20)</f>
        <v>0</v>
      </c>
      <c r="M21" s="285"/>
      <c r="N21" s="206" t="s">
        <v>1156</v>
      </c>
      <c r="O21" s="201">
        <f>SUM(O6:O20)</f>
        <v>0</v>
      </c>
      <c r="P21" s="285"/>
      <c r="Q21" s="206" t="s">
        <v>1157</v>
      </c>
      <c r="R21" s="201">
        <f>SUM(R6:R20)</f>
        <v>0</v>
      </c>
      <c r="S21" s="409"/>
      <c r="T21" s="211"/>
      <c r="U21" s="154"/>
    </row>
    <row r="22" spans="2:21" ht="15.75" customHeight="1">
      <c r="B22" s="1300" t="s">
        <v>1158</v>
      </c>
      <c r="C22" s="1449" t="s">
        <v>1159</v>
      </c>
      <c r="D22" s="1451" t="s">
        <v>1160</v>
      </c>
      <c r="E22" s="1451"/>
      <c r="F22" s="1452" t="s">
        <v>1161</v>
      </c>
      <c r="G22" s="1453"/>
      <c r="H22" s="1453"/>
      <c r="I22" s="1453"/>
      <c r="J22" s="410"/>
      <c r="K22" s="229" t="s">
        <v>1162</v>
      </c>
      <c r="L22" s="213"/>
      <c r="M22" s="411"/>
      <c r="N22" s="1443"/>
      <c r="O22" s="1444"/>
      <c r="P22" s="1444"/>
      <c r="Q22" s="1444"/>
      <c r="R22" s="1444"/>
      <c r="S22" s="412"/>
      <c r="T22" s="211"/>
      <c r="U22" s="154"/>
    </row>
    <row r="23" spans="2:21" ht="15.75" customHeight="1">
      <c r="B23" s="1283"/>
      <c r="C23" s="1450"/>
      <c r="D23" s="1259"/>
      <c r="E23" s="1259"/>
      <c r="F23" s="1447" t="s">
        <v>1163</v>
      </c>
      <c r="G23" s="1448"/>
      <c r="H23" s="1448"/>
      <c r="I23" s="1448"/>
      <c r="J23" s="267"/>
      <c r="K23" s="199" t="s">
        <v>1164</v>
      </c>
      <c r="L23" s="198"/>
      <c r="M23" s="270"/>
      <c r="N23" s="1445"/>
      <c r="O23" s="1445"/>
      <c r="P23" s="1445"/>
      <c r="Q23" s="1445"/>
      <c r="R23" s="1445"/>
      <c r="S23" s="297"/>
      <c r="T23" s="211"/>
      <c r="U23" s="154"/>
    </row>
    <row r="24" spans="2:21" ht="15.75" customHeight="1" thickBot="1">
      <c r="B24" s="1429"/>
      <c r="C24" s="295" t="s">
        <v>1165</v>
      </c>
      <c r="D24" s="1433" t="s">
        <v>1166</v>
      </c>
      <c r="E24" s="1433"/>
      <c r="F24" s="1433"/>
      <c r="G24" s="1433"/>
      <c r="H24" s="1433"/>
      <c r="I24" s="1433"/>
      <c r="J24" s="280"/>
      <c r="K24" s="200" t="s">
        <v>1167</v>
      </c>
      <c r="L24" s="205"/>
      <c r="M24" s="281"/>
      <c r="N24" s="1446"/>
      <c r="O24" s="1446"/>
      <c r="P24" s="1446"/>
      <c r="Q24" s="1446"/>
      <c r="R24" s="1446"/>
      <c r="S24" s="298"/>
      <c r="T24" s="211"/>
      <c r="U24" s="154"/>
    </row>
    <row r="25" spans="2:21" ht="35.25" customHeight="1" collapsed="1" thickBot="1">
      <c r="B25" s="1425" t="s">
        <v>895</v>
      </c>
      <c r="C25" s="1426"/>
      <c r="D25" s="1426"/>
      <c r="E25" s="1426" t="s">
        <v>1168</v>
      </c>
      <c r="F25" s="1426"/>
      <c r="G25" s="1292" t="s">
        <v>196</v>
      </c>
      <c r="H25" s="1292" t="s">
        <v>1202</v>
      </c>
      <c r="I25" s="1292"/>
      <c r="J25" s="1292"/>
      <c r="K25" s="1367" t="s">
        <v>1196</v>
      </c>
      <c r="L25" s="1365"/>
      <c r="M25" s="1366"/>
      <c r="N25" s="1292" t="s">
        <v>1197</v>
      </c>
      <c r="O25" s="1292"/>
      <c r="P25" s="1292"/>
      <c r="Q25" s="1292" t="s">
        <v>1198</v>
      </c>
      <c r="R25" s="1292"/>
      <c r="S25" s="1293"/>
      <c r="T25" s="211"/>
      <c r="U25" s="154"/>
    </row>
    <row r="26" spans="2:21" s="55" customFormat="1" ht="18" hidden="1" customHeight="1" outlineLevel="1" thickBot="1">
      <c r="B26" s="1427"/>
      <c r="C26" s="1428"/>
      <c r="D26" s="1428"/>
      <c r="E26" s="1428"/>
      <c r="F26" s="1428"/>
      <c r="G26" s="1454"/>
      <c r="H26" s="293"/>
      <c r="I26" s="293"/>
      <c r="J26" s="293" t="s">
        <v>196</v>
      </c>
      <c r="K26" s="264"/>
      <c r="L26" s="264"/>
      <c r="M26" s="293" t="s">
        <v>196</v>
      </c>
      <c r="N26" s="264"/>
      <c r="O26" s="293"/>
      <c r="P26" s="293" t="s">
        <v>196</v>
      </c>
      <c r="Q26" s="293"/>
      <c r="R26" s="293"/>
      <c r="S26" s="263" t="s">
        <v>196</v>
      </c>
      <c r="T26" s="211"/>
      <c r="U26" s="154"/>
    </row>
    <row r="27" spans="2:21" ht="15.75" customHeight="1">
      <c r="B27" s="1441" t="s">
        <v>1169</v>
      </c>
      <c r="C27" s="1442"/>
      <c r="D27" s="1442"/>
      <c r="E27" s="1442"/>
      <c r="F27" s="1442"/>
      <c r="G27" s="277"/>
      <c r="H27" s="242" t="s">
        <v>1905</v>
      </c>
      <c r="I27" s="228"/>
      <c r="J27" s="282"/>
      <c r="K27" s="425"/>
      <c r="L27" s="423"/>
      <c r="M27" s="282"/>
      <c r="N27" s="292"/>
      <c r="O27" s="228"/>
      <c r="P27" s="283"/>
      <c r="Q27" s="284"/>
      <c r="R27" s="423"/>
      <c r="S27" s="424"/>
      <c r="T27" s="211"/>
      <c r="U27" s="154"/>
    </row>
    <row r="28" spans="2:21" ht="15.75" customHeight="1">
      <c r="B28" s="1434" t="s">
        <v>1170</v>
      </c>
      <c r="C28" s="1264"/>
      <c r="D28" s="1264"/>
      <c r="E28" s="1264"/>
      <c r="F28" s="1264"/>
      <c r="G28" s="265"/>
      <c r="H28" s="234" t="s">
        <v>1906</v>
      </c>
      <c r="I28" s="198"/>
      <c r="J28" s="268"/>
      <c r="K28" s="522"/>
      <c r="L28" s="301"/>
      <c r="M28" s="268"/>
      <c r="N28" s="38"/>
      <c r="O28" s="198"/>
      <c r="P28" s="271"/>
      <c r="Q28" s="260"/>
      <c r="R28" s="301"/>
      <c r="S28" s="420"/>
      <c r="T28" s="211"/>
      <c r="U28" s="154"/>
    </row>
    <row r="29" spans="2:21" ht="15.75" customHeight="1">
      <c r="B29" s="1438" t="s">
        <v>1171</v>
      </c>
      <c r="C29" s="1439"/>
      <c r="D29" s="1439"/>
      <c r="E29" s="1264" t="s">
        <v>1172</v>
      </c>
      <c r="F29" s="1264"/>
      <c r="G29" s="265"/>
      <c r="H29" s="234" t="s">
        <v>1173</v>
      </c>
      <c r="I29" s="198">
        <v>1929625</v>
      </c>
      <c r="J29" s="268"/>
      <c r="K29" s="522"/>
      <c r="L29" s="301">
        <v>1929625</v>
      </c>
      <c r="M29" s="268"/>
      <c r="N29" s="38"/>
      <c r="O29" s="198"/>
      <c r="P29" s="271"/>
      <c r="Q29" s="260"/>
      <c r="R29" s="301"/>
      <c r="S29" s="421"/>
      <c r="T29" s="211"/>
      <c r="U29" s="154"/>
    </row>
    <row r="30" spans="2:21" ht="15.75" customHeight="1">
      <c r="B30" s="1440"/>
      <c r="C30" s="1439"/>
      <c r="D30" s="1439"/>
      <c r="E30" s="1264" t="s">
        <v>1174</v>
      </c>
      <c r="F30" s="1264"/>
      <c r="G30" s="265"/>
      <c r="H30" s="234" t="s">
        <v>1175</v>
      </c>
      <c r="I30" s="198">
        <v>3150000</v>
      </c>
      <c r="J30" s="268"/>
      <c r="K30" s="522"/>
      <c r="L30" s="301">
        <v>450000</v>
      </c>
      <c r="M30" s="268"/>
      <c r="N30" s="38"/>
      <c r="O30" s="198">
        <v>1800000</v>
      </c>
      <c r="P30" s="271"/>
      <c r="Q30" s="260"/>
      <c r="R30" s="301">
        <v>900000</v>
      </c>
      <c r="S30" s="421"/>
      <c r="T30" s="211"/>
      <c r="U30" s="154"/>
    </row>
    <row r="31" spans="2:21" ht="15.75" customHeight="1">
      <c r="B31" s="1434" t="s">
        <v>1176</v>
      </c>
      <c r="C31" s="1264"/>
      <c r="D31" s="1264"/>
      <c r="E31" s="1264"/>
      <c r="F31" s="1264"/>
      <c r="G31" s="265"/>
      <c r="H31" s="234" t="s">
        <v>1907</v>
      </c>
      <c r="I31" s="198"/>
      <c r="J31" s="268"/>
      <c r="K31" s="522"/>
      <c r="L31" s="301"/>
      <c r="M31" s="268"/>
      <c r="N31" s="38"/>
      <c r="O31" s="198"/>
      <c r="P31" s="271"/>
      <c r="Q31" s="38"/>
      <c r="R31" s="301"/>
      <c r="S31" s="421"/>
      <c r="T31" s="211"/>
      <c r="U31" s="154"/>
    </row>
    <row r="32" spans="2:21" ht="15.75" customHeight="1">
      <c r="B32" s="1434" t="s">
        <v>1177</v>
      </c>
      <c r="C32" s="1264"/>
      <c r="D32" s="1264"/>
      <c r="E32" s="1264"/>
      <c r="F32" s="1264"/>
      <c r="G32" s="265"/>
      <c r="H32" s="234" t="s">
        <v>1908</v>
      </c>
      <c r="I32" s="198">
        <v>3940000</v>
      </c>
      <c r="J32" s="268"/>
      <c r="K32" s="522"/>
      <c r="L32" s="301"/>
      <c r="M32" s="543"/>
      <c r="N32" s="38"/>
      <c r="O32" s="198"/>
      <c r="P32" s="271"/>
      <c r="Q32" s="38"/>
      <c r="R32" s="301"/>
      <c r="S32" s="421"/>
      <c r="T32" s="211"/>
      <c r="U32" s="154"/>
    </row>
    <row r="33" spans="2:21" ht="15.75" customHeight="1">
      <c r="B33" s="1434" t="s">
        <v>1137</v>
      </c>
      <c r="C33" s="1264"/>
      <c r="D33" s="1264"/>
      <c r="E33" s="1264"/>
      <c r="F33" s="1264"/>
      <c r="G33" s="265"/>
      <c r="H33" s="234" t="s">
        <v>1909</v>
      </c>
      <c r="I33" s="198"/>
      <c r="J33" s="268"/>
      <c r="K33" s="522"/>
      <c r="L33" s="301"/>
      <c r="M33" s="268"/>
      <c r="N33" s="38"/>
      <c r="O33" s="198"/>
      <c r="P33" s="271"/>
      <c r="Q33" s="38"/>
      <c r="R33" s="301"/>
      <c r="S33" s="421"/>
      <c r="T33" s="211"/>
      <c r="U33" s="154"/>
    </row>
    <row r="34" spans="2:21" ht="15.75" customHeight="1">
      <c r="B34" s="1434" t="s">
        <v>1178</v>
      </c>
      <c r="C34" s="1264"/>
      <c r="D34" s="1264"/>
      <c r="E34" s="1264"/>
      <c r="F34" s="1264"/>
      <c r="G34" s="265"/>
      <c r="H34" s="234" t="s">
        <v>1910</v>
      </c>
      <c r="I34" s="198">
        <v>494000</v>
      </c>
      <c r="J34" s="268"/>
      <c r="K34" s="522"/>
      <c r="L34" s="301"/>
      <c r="M34" s="543"/>
      <c r="N34" s="38"/>
      <c r="O34" s="198"/>
      <c r="P34" s="271"/>
      <c r="Q34" s="38"/>
      <c r="R34" s="301"/>
      <c r="S34" s="421"/>
      <c r="T34" s="211"/>
      <c r="U34" s="154"/>
    </row>
    <row r="35" spans="2:21" ht="15.75" customHeight="1">
      <c r="B35" s="1438" t="s">
        <v>1141</v>
      </c>
      <c r="C35" s="1266"/>
      <c r="D35" s="1264" t="s">
        <v>1142</v>
      </c>
      <c r="E35" s="1264"/>
      <c r="F35" s="1264"/>
      <c r="G35" s="265"/>
      <c r="H35" s="234" t="s">
        <v>1911</v>
      </c>
      <c r="I35" s="198"/>
      <c r="J35" s="268"/>
      <c r="K35" s="522"/>
      <c r="L35" s="301"/>
      <c r="M35" s="544"/>
      <c r="N35" s="38"/>
      <c r="O35" s="198"/>
      <c r="P35" s="271"/>
      <c r="Q35" s="38"/>
      <c r="R35" s="301"/>
      <c r="S35" s="421"/>
      <c r="T35" s="211"/>
      <c r="U35" s="154"/>
    </row>
    <row r="36" spans="2:21" ht="15.75" customHeight="1">
      <c r="B36" s="1438"/>
      <c r="C36" s="1266"/>
      <c r="D36" s="1264" t="s">
        <v>1144</v>
      </c>
      <c r="E36" s="1264"/>
      <c r="F36" s="1264"/>
      <c r="G36" s="265"/>
      <c r="H36" s="234" t="s">
        <v>1179</v>
      </c>
      <c r="I36" s="198">
        <v>300000</v>
      </c>
      <c r="J36" s="268"/>
      <c r="K36" s="522"/>
      <c r="L36" s="301"/>
      <c r="M36" s="543"/>
      <c r="N36" s="38"/>
      <c r="O36" s="198"/>
      <c r="P36" s="271"/>
      <c r="Q36" s="38"/>
      <c r="R36" s="301"/>
      <c r="S36" s="421"/>
      <c r="T36" s="211"/>
      <c r="U36" s="154"/>
    </row>
    <row r="37" spans="2:21" ht="15.75" customHeight="1">
      <c r="B37" s="1438"/>
      <c r="C37" s="1266"/>
      <c r="D37" s="1264" t="s">
        <v>1180</v>
      </c>
      <c r="E37" s="1264"/>
      <c r="F37" s="1264"/>
      <c r="G37" s="265"/>
      <c r="H37" s="234" t="s">
        <v>1181</v>
      </c>
      <c r="I37" s="198"/>
      <c r="J37" s="268"/>
      <c r="K37" s="522"/>
      <c r="L37" s="301"/>
      <c r="M37" s="543"/>
      <c r="N37" s="38"/>
      <c r="O37" s="198"/>
      <c r="P37" s="271"/>
      <c r="Q37" s="38"/>
      <c r="R37" s="301"/>
      <c r="S37" s="421"/>
      <c r="T37" s="211"/>
      <c r="U37" s="154"/>
    </row>
    <row r="38" spans="2:21" ht="15.75" customHeight="1">
      <c r="B38" s="1438"/>
      <c r="C38" s="1266"/>
      <c r="D38" s="1264" t="s">
        <v>1182</v>
      </c>
      <c r="E38" s="1264"/>
      <c r="F38" s="1264"/>
      <c r="G38" s="265"/>
      <c r="H38" s="234" t="s">
        <v>1183</v>
      </c>
      <c r="I38" s="198"/>
      <c r="J38" s="268"/>
      <c r="K38" s="522"/>
      <c r="L38" s="301"/>
      <c r="M38" s="543"/>
      <c r="N38" s="38"/>
      <c r="O38" s="198"/>
      <c r="P38" s="271"/>
      <c r="Q38" s="260"/>
      <c r="R38" s="301"/>
      <c r="S38" s="421"/>
      <c r="T38" s="211"/>
      <c r="U38" s="154"/>
    </row>
    <row r="39" spans="2:21" ht="15.75" customHeight="1">
      <c r="B39" s="1434" t="s">
        <v>68</v>
      </c>
      <c r="C39" s="1264"/>
      <c r="D39" s="1264"/>
      <c r="E39" s="1264"/>
      <c r="F39" s="1264"/>
      <c r="G39" s="265"/>
      <c r="H39" s="234" t="s">
        <v>1912</v>
      </c>
      <c r="I39" s="198"/>
      <c r="J39" s="268"/>
      <c r="K39" s="522"/>
      <c r="L39" s="301"/>
      <c r="M39" s="268"/>
      <c r="N39" s="38"/>
      <c r="O39" s="198"/>
      <c r="P39" s="271"/>
      <c r="Q39" s="260"/>
      <c r="R39" s="301"/>
      <c r="S39" s="421"/>
      <c r="T39" s="211"/>
      <c r="U39" s="154"/>
    </row>
    <row r="40" spans="2:21" ht="15.75" customHeight="1">
      <c r="B40" s="1434" t="s">
        <v>1148</v>
      </c>
      <c r="C40" s="1264"/>
      <c r="D40" s="1264"/>
      <c r="E40" s="1264"/>
      <c r="F40" s="1264"/>
      <c r="G40" s="265"/>
      <c r="H40" s="234" t="s">
        <v>1184</v>
      </c>
      <c r="I40" s="198"/>
      <c r="J40" s="268"/>
      <c r="K40" s="522"/>
      <c r="L40" s="301"/>
      <c r="M40" s="268"/>
      <c r="N40" s="38"/>
      <c r="O40" s="198"/>
      <c r="P40" s="271"/>
      <c r="Q40" s="38"/>
      <c r="R40" s="301"/>
      <c r="S40" s="420"/>
      <c r="T40" s="211"/>
      <c r="U40" s="154"/>
    </row>
    <row r="41" spans="2:21" ht="15.75" customHeight="1">
      <c r="B41" s="1437" t="s">
        <v>1185</v>
      </c>
      <c r="C41" s="1422"/>
      <c r="D41" s="1422"/>
      <c r="E41" s="1422"/>
      <c r="F41" s="1422"/>
      <c r="G41" s="274"/>
      <c r="H41" s="234" t="s">
        <v>1913</v>
      </c>
      <c r="I41" s="198"/>
      <c r="J41" s="276"/>
      <c r="K41" s="260"/>
      <c r="L41" s="301"/>
      <c r="M41" s="276"/>
      <c r="N41" s="38"/>
      <c r="O41" s="198"/>
      <c r="P41" s="271"/>
      <c r="Q41" s="38"/>
      <c r="R41" s="198"/>
      <c r="S41" s="404"/>
      <c r="T41" s="211"/>
      <c r="U41" s="154"/>
    </row>
    <row r="42" spans="2:21" ht="15.75" customHeight="1">
      <c r="B42" s="1434" t="s">
        <v>1186</v>
      </c>
      <c r="C42" s="1264"/>
      <c r="D42" s="1264"/>
      <c r="E42" s="1264"/>
      <c r="F42" s="1264"/>
      <c r="G42" s="265"/>
      <c r="H42" s="234" t="s">
        <v>1187</v>
      </c>
      <c r="I42" s="198"/>
      <c r="J42" s="276"/>
      <c r="K42" s="522"/>
      <c r="L42" s="301"/>
      <c r="M42" s="543"/>
      <c r="N42" s="38"/>
      <c r="O42" s="198"/>
      <c r="P42" s="271"/>
      <c r="Q42" s="38"/>
      <c r="R42" s="198"/>
      <c r="S42" s="404"/>
      <c r="T42" s="211"/>
      <c r="U42" s="154"/>
    </row>
    <row r="43" spans="2:21" ht="15.75" customHeight="1">
      <c r="B43" s="1434" t="s">
        <v>1188</v>
      </c>
      <c r="C43" s="1264"/>
      <c r="D43" s="1264"/>
      <c r="E43" s="1264"/>
      <c r="F43" s="1264"/>
      <c r="G43" s="265"/>
      <c r="H43" s="234" t="s">
        <v>1914</v>
      </c>
      <c r="I43" s="198">
        <v>92000</v>
      </c>
      <c r="J43" s="276"/>
      <c r="K43" s="522"/>
      <c r="L43" s="301"/>
      <c r="M43" s="543"/>
      <c r="N43" s="38"/>
      <c r="O43" s="198"/>
      <c r="P43" s="271"/>
      <c r="Q43" s="38"/>
      <c r="R43" s="198"/>
      <c r="S43" s="404"/>
      <c r="T43" s="211"/>
      <c r="U43" s="154"/>
    </row>
    <row r="44" spans="2:21" ht="15.75" customHeight="1" thickBot="1">
      <c r="B44" s="1435" t="s">
        <v>1154</v>
      </c>
      <c r="C44" s="1436"/>
      <c r="D44" s="1436"/>
      <c r="E44" s="1436"/>
      <c r="F44" s="1436"/>
      <c r="G44" s="370"/>
      <c r="H44" s="413" t="s">
        <v>1189</v>
      </c>
      <c r="I44" s="203">
        <f>SUM(I27:K43)</f>
        <v>9905625</v>
      </c>
      <c r="J44" s="414"/>
      <c r="K44" s="415" t="s">
        <v>1190</v>
      </c>
      <c r="L44" s="203">
        <f>SUM(L27:L43)</f>
        <v>2379625</v>
      </c>
      <c r="M44" s="414"/>
      <c r="N44" s="415"/>
      <c r="O44" s="203">
        <f>SUM(O27:Q43)</f>
        <v>1800000</v>
      </c>
      <c r="P44" s="414"/>
      <c r="Q44" s="415"/>
      <c r="R44" s="416">
        <f>SUM(R27:R43)</f>
        <v>900000</v>
      </c>
      <c r="S44" s="422"/>
      <c r="T44" s="211"/>
      <c r="U44" s="154"/>
    </row>
    <row r="45" spans="2:21" ht="15.75" customHeight="1">
      <c r="B45" s="1300" t="s">
        <v>1158</v>
      </c>
      <c r="C45" s="1430" t="s">
        <v>1159</v>
      </c>
      <c r="D45" s="1432" t="s">
        <v>1191</v>
      </c>
      <c r="E45" s="1432"/>
      <c r="F45" s="1432"/>
      <c r="G45" s="417"/>
      <c r="H45" s="242" t="s">
        <v>1192</v>
      </c>
      <c r="I45" s="213"/>
      <c r="J45" s="418"/>
      <c r="K45" s="284"/>
      <c r="L45" s="1423"/>
      <c r="M45" s="1423"/>
      <c r="N45" s="1423"/>
      <c r="O45" s="1423"/>
      <c r="P45" s="1423"/>
      <c r="Q45" s="1423"/>
      <c r="R45" s="1423"/>
      <c r="S45" s="419"/>
      <c r="T45" s="211"/>
      <c r="U45" s="154"/>
    </row>
    <row r="46" spans="2:21" ht="15.75" customHeight="1" thickBot="1">
      <c r="B46" s="1429"/>
      <c r="C46" s="1431"/>
      <c r="D46" s="1433" t="s">
        <v>1193</v>
      </c>
      <c r="E46" s="1433"/>
      <c r="F46" s="1433"/>
      <c r="G46" s="280"/>
      <c r="H46" s="235" t="s">
        <v>1194</v>
      </c>
      <c r="I46" s="205"/>
      <c r="J46" s="285"/>
      <c r="K46" s="286"/>
      <c r="L46" s="1424"/>
      <c r="M46" s="1424"/>
      <c r="N46" s="1424"/>
      <c r="O46" s="1424"/>
      <c r="P46" s="1424"/>
      <c r="Q46" s="1424"/>
      <c r="R46" s="1424"/>
      <c r="S46" s="294"/>
      <c r="T46" s="211"/>
      <c r="U46" s="154"/>
    </row>
    <row r="47" spans="2:21">
      <c r="T47" s="154"/>
      <c r="U47" s="154"/>
    </row>
    <row r="48" spans="2:21">
      <c r="T48" s="154"/>
      <c r="U48" s="154"/>
    </row>
  </sheetData>
  <mergeCells count="65">
    <mergeCell ref="K4:M4"/>
    <mergeCell ref="B6:B8"/>
    <mergeCell ref="C6:I6"/>
    <mergeCell ref="C7:I7"/>
    <mergeCell ref="E16:I16"/>
    <mergeCell ref="C8:I8"/>
    <mergeCell ref="B9:B21"/>
    <mergeCell ref="C9:I9"/>
    <mergeCell ref="C10:I10"/>
    <mergeCell ref="C11:E11"/>
    <mergeCell ref="C12:I12"/>
    <mergeCell ref="J4:J5"/>
    <mergeCell ref="C20:I20"/>
    <mergeCell ref="C21:I21"/>
    <mergeCell ref="E17:I17"/>
    <mergeCell ref="C18:I18"/>
    <mergeCell ref="B27:F27"/>
    <mergeCell ref="B28:F28"/>
    <mergeCell ref="N22:R24"/>
    <mergeCell ref="F23:I23"/>
    <mergeCell ref="D24:I24"/>
    <mergeCell ref="B22:B24"/>
    <mergeCell ref="C22:C23"/>
    <mergeCell ref="D22:E23"/>
    <mergeCell ref="F22:I22"/>
    <mergeCell ref="Q25:S25"/>
    <mergeCell ref="E25:F26"/>
    <mergeCell ref="G25:G26"/>
    <mergeCell ref="H25:J25"/>
    <mergeCell ref="N25:P25"/>
    <mergeCell ref="K25:M25"/>
    <mergeCell ref="B33:F33"/>
    <mergeCell ref="B34:F34"/>
    <mergeCell ref="B31:F31"/>
    <mergeCell ref="B32:F32"/>
    <mergeCell ref="B29:D30"/>
    <mergeCell ref="E29:F29"/>
    <mergeCell ref="E30:F30"/>
    <mergeCell ref="B40:F40"/>
    <mergeCell ref="D38:F38"/>
    <mergeCell ref="B35:C38"/>
    <mergeCell ref="D35:F35"/>
    <mergeCell ref="D36:F36"/>
    <mergeCell ref="D37:F37"/>
    <mergeCell ref="B2:S2"/>
    <mergeCell ref="L45:R46"/>
    <mergeCell ref="N4:P4"/>
    <mergeCell ref="Q4:S4"/>
    <mergeCell ref="B4:D5"/>
    <mergeCell ref="E4:I5"/>
    <mergeCell ref="B25:D26"/>
    <mergeCell ref="B45:B46"/>
    <mergeCell ref="C45:C46"/>
    <mergeCell ref="D45:F45"/>
    <mergeCell ref="D46:F46"/>
    <mergeCell ref="B43:F43"/>
    <mergeCell ref="B44:F44"/>
    <mergeCell ref="B41:F41"/>
    <mergeCell ref="B42:F42"/>
    <mergeCell ref="B39:F39"/>
    <mergeCell ref="C19:I19"/>
    <mergeCell ref="C13:I13"/>
    <mergeCell ref="C14:D17"/>
    <mergeCell ref="E14:I14"/>
    <mergeCell ref="E15:I15"/>
  </mergeCells>
  <hyperlinks>
    <hyperlink ref="A1" location="Sommaire!A1" display="Sommaire"/>
  </hyperlinks>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Feuil10">
    <tabColor theme="3" tint="-0.499984740745262"/>
    <outlinePr summaryBelow="0" summaryRight="0"/>
  </sheetPr>
  <dimension ref="A1:M117"/>
  <sheetViews>
    <sheetView zoomScale="90" zoomScaleNormal="90" workbookViewId="0">
      <pane ySplit="8" topLeftCell="A80" activePane="bottomLeft" state="frozen"/>
      <selection activeCell="C67" sqref="C67"/>
      <selection pane="bottomLeft" activeCell="C118" sqref="C118"/>
    </sheetView>
  </sheetViews>
  <sheetFormatPr baseColWidth="10" defaultColWidth="11.44140625" defaultRowHeight="13.2" outlineLevelRow="3" outlineLevelCol="1"/>
  <cols>
    <col min="1" max="1" width="3.33203125" style="545" customWidth="1"/>
    <col min="2" max="2" width="5.109375" style="545" customWidth="1"/>
    <col min="3" max="3" width="5.6640625" style="545" customWidth="1"/>
    <col min="4" max="4" width="6.88671875" style="551" customWidth="1"/>
    <col min="5" max="5" width="74" style="551" customWidth="1" collapsed="1"/>
    <col min="6" max="6" width="68.33203125" style="545" hidden="1" customWidth="1" outlineLevel="1"/>
    <col min="7" max="7" width="14.6640625" style="113" customWidth="1"/>
    <col min="8" max="8" width="14.6640625" style="545" customWidth="1"/>
    <col min="9" max="9" width="3.109375" style="551" customWidth="1"/>
    <col min="10" max="10" width="17.5546875" style="545" bestFit="1" customWidth="1"/>
    <col min="11" max="11" width="10.88671875" style="545" customWidth="1"/>
    <col min="12" max="12" width="17.5546875" style="545" bestFit="1" customWidth="1"/>
    <col min="13" max="13" width="12.44140625" style="545" customWidth="1"/>
    <col min="14" max="16384" width="11.44140625" style="545"/>
  </cols>
  <sheetData>
    <row r="1" spans="1:12" ht="14.4" thickBot="1">
      <c r="A1" s="981" t="s">
        <v>2015</v>
      </c>
    </row>
    <row r="2" spans="1:12" ht="21.6" thickBot="1">
      <c r="B2" s="1463" t="s">
        <v>1232</v>
      </c>
      <c r="C2" s="1464"/>
      <c r="D2" s="1464"/>
      <c r="E2" s="1464"/>
      <c r="F2" s="1464"/>
      <c r="G2" s="1464"/>
      <c r="H2" s="1465"/>
    </row>
    <row r="4" spans="1:12" s="551" customFormat="1">
      <c r="B4" s="189" t="s">
        <v>2034</v>
      </c>
    </row>
    <row r="5" spans="1:12" s="551" customFormat="1" ht="28.2" customHeight="1">
      <c r="C5" s="1473" t="s">
        <v>2035</v>
      </c>
      <c r="D5" s="1473"/>
      <c r="E5" s="937">
        <f>1/3</f>
        <v>0.33333333333333331</v>
      </c>
    </row>
    <row r="6" spans="1:12" s="551" customFormat="1" ht="28.2" customHeight="1">
      <c r="C6" s="1473" t="s">
        <v>2036</v>
      </c>
      <c r="D6" s="1473"/>
      <c r="E6" s="937">
        <f>0.2</f>
        <v>0.2</v>
      </c>
    </row>
    <row r="7" spans="1:12" s="551" customFormat="1" ht="13.8" thickBot="1">
      <c r="C7" s="189"/>
    </row>
    <row r="8" spans="1:12" ht="16.2" thickBot="1">
      <c r="B8" s="1469" t="s">
        <v>1276</v>
      </c>
      <c r="C8" s="1469"/>
      <c r="D8" s="900">
        <v>2012</v>
      </c>
      <c r="E8" s="643"/>
      <c r="F8" s="809" t="s">
        <v>196</v>
      </c>
      <c r="G8" s="898">
        <f>D8</f>
        <v>2012</v>
      </c>
      <c r="H8" s="899">
        <f>IFERROR(D8-1,D8&amp;" - 1")</f>
        <v>2011</v>
      </c>
    </row>
    <row r="9" spans="1:12" ht="13.8">
      <c r="B9" s="1460" t="s">
        <v>1982</v>
      </c>
      <c r="C9" s="1460"/>
      <c r="D9" s="1460"/>
      <c r="E9" s="1460"/>
      <c r="F9" s="810"/>
      <c r="G9" s="896"/>
      <c r="H9" s="897"/>
    </row>
    <row r="10" spans="1:12" outlineLevel="1">
      <c r="B10" s="719"/>
      <c r="C10" s="38" t="s">
        <v>1644</v>
      </c>
      <c r="D10" s="38"/>
      <c r="E10" s="38"/>
      <c r="F10" s="618"/>
      <c r="G10" s="1468" t="s">
        <v>848</v>
      </c>
      <c r="H10" s="1467"/>
    </row>
    <row r="11" spans="1:12" outlineLevel="1">
      <c r="B11" s="719"/>
      <c r="C11" s="38" t="s">
        <v>1233</v>
      </c>
      <c r="D11" s="38"/>
      <c r="E11" s="38"/>
      <c r="F11" s="618"/>
      <c r="G11" s="1468" t="s">
        <v>848</v>
      </c>
      <c r="H11" s="1467"/>
    </row>
    <row r="12" spans="1:12" s="551" customFormat="1" outlineLevel="1">
      <c r="B12" s="719"/>
      <c r="C12" s="38" t="s">
        <v>1931</v>
      </c>
      <c r="D12" s="38"/>
      <c r="E12" s="38"/>
      <c r="F12" s="973" t="s">
        <v>2109</v>
      </c>
      <c r="G12" s="1468" t="s">
        <v>847</v>
      </c>
      <c r="H12" s="1467"/>
    </row>
    <row r="13" spans="1:12" s="551" customFormat="1" ht="12.75" customHeight="1" outlineLevel="1">
      <c r="B13" s="895"/>
      <c r="C13" s="38" t="s">
        <v>1983</v>
      </c>
      <c r="D13" s="38"/>
      <c r="E13" s="38"/>
      <c r="F13" s="894"/>
      <c r="G13" s="1474" t="s">
        <v>847</v>
      </c>
      <c r="H13" s="1475"/>
      <c r="J13" s="1473" t="s">
        <v>1987</v>
      </c>
      <c r="K13" s="1473"/>
      <c r="L13" s="1473"/>
    </row>
    <row r="14" spans="1:12" s="551" customFormat="1" outlineLevel="1">
      <c r="B14" s="895"/>
      <c r="C14" s="38" t="s">
        <v>1984</v>
      </c>
      <c r="D14" s="38"/>
      <c r="E14" s="38"/>
      <c r="F14" s="894"/>
      <c r="G14" s="1474" t="s">
        <v>847</v>
      </c>
      <c r="H14" s="1475"/>
      <c r="J14" s="1473"/>
      <c r="K14" s="1473"/>
      <c r="L14" s="1473"/>
    </row>
    <row r="15" spans="1:12" s="551" customFormat="1" ht="13.5" customHeight="1" outlineLevel="1">
      <c r="B15" s="895"/>
      <c r="C15" s="38" t="s">
        <v>1985</v>
      </c>
      <c r="D15" s="38"/>
      <c r="E15" s="38"/>
      <c r="F15" s="894"/>
      <c r="G15" s="1474" t="s">
        <v>847</v>
      </c>
      <c r="H15" s="1475"/>
      <c r="J15" s="1473"/>
      <c r="K15" s="1473"/>
      <c r="L15" s="1473"/>
    </row>
    <row r="16" spans="1:12" s="551" customFormat="1" ht="13.5" customHeight="1" outlineLevel="1">
      <c r="B16" s="895"/>
      <c r="C16" s="38" t="s">
        <v>1986</v>
      </c>
      <c r="D16" s="38"/>
      <c r="E16" s="38"/>
      <c r="F16" s="894"/>
      <c r="G16" s="1474" t="s">
        <v>847</v>
      </c>
      <c r="H16" s="1475"/>
      <c r="J16" s="1473"/>
      <c r="K16" s="1473"/>
      <c r="L16" s="1473"/>
    </row>
    <row r="17" spans="2:8" s="551" customFormat="1" ht="13.8" collapsed="1">
      <c r="B17" s="1460" t="s">
        <v>1941</v>
      </c>
      <c r="C17" s="1460"/>
      <c r="D17" s="1460"/>
      <c r="E17" s="1460"/>
      <c r="F17" s="810"/>
      <c r="G17" s="814"/>
      <c r="H17" s="815"/>
    </row>
    <row r="18" spans="2:8" hidden="1" outlineLevel="1">
      <c r="B18" s="719"/>
      <c r="C18" s="1458" t="s">
        <v>1942</v>
      </c>
      <c r="D18" s="1111"/>
      <c r="E18" s="1459"/>
      <c r="F18" s="618"/>
      <c r="G18" s="1468" t="s">
        <v>848</v>
      </c>
      <c r="H18" s="1467"/>
    </row>
    <row r="19" spans="2:8" hidden="1" outlineLevel="1">
      <c r="B19" s="719"/>
      <c r="C19" s="1458" t="s">
        <v>2044</v>
      </c>
      <c r="D19" s="1111"/>
      <c r="E19" s="1459"/>
      <c r="F19" s="618"/>
      <c r="G19" s="1468" t="s">
        <v>847</v>
      </c>
      <c r="H19" s="1467"/>
    </row>
    <row r="20" spans="2:8" ht="30" hidden="1" customHeight="1" outlineLevel="1">
      <c r="B20" s="719"/>
      <c r="C20" s="1470" t="s">
        <v>1996</v>
      </c>
      <c r="D20" s="1471"/>
      <c r="E20" s="1472"/>
      <c r="F20" s="811" t="s">
        <v>1932</v>
      </c>
      <c r="G20" s="1466" t="s">
        <v>848</v>
      </c>
      <c r="H20" s="1467"/>
    </row>
    <row r="21" spans="2:8" s="551" customFormat="1" hidden="1" outlineLevel="1">
      <c r="B21" s="895"/>
      <c r="C21" s="1458" t="s">
        <v>1980</v>
      </c>
      <c r="D21" s="1111"/>
      <c r="E21" s="1459"/>
      <c r="F21" s="811"/>
      <c r="G21" s="1466" t="s">
        <v>847</v>
      </c>
      <c r="H21" s="1467"/>
    </row>
    <row r="22" spans="2:8" ht="13.8">
      <c r="B22" s="1462" t="s">
        <v>1643</v>
      </c>
      <c r="C22" s="1462"/>
      <c r="D22" s="1462"/>
      <c r="E22" s="1462"/>
      <c r="F22" s="810"/>
      <c r="G22" s="816"/>
      <c r="H22" s="817"/>
    </row>
    <row r="23" spans="2:8" s="551" customFormat="1" outlineLevel="1">
      <c r="B23" s="719"/>
      <c r="C23" s="644" t="s">
        <v>1919</v>
      </c>
      <c r="D23" s="719"/>
      <c r="E23" s="38"/>
      <c r="F23" s="618"/>
      <c r="G23" s="816"/>
      <c r="H23" s="818"/>
    </row>
    <row r="24" spans="2:8" outlineLevel="2">
      <c r="B24" s="719"/>
      <c r="C24" s="719"/>
      <c r="D24" s="38" t="s">
        <v>1637</v>
      </c>
      <c r="E24" s="719"/>
      <c r="F24" s="618"/>
      <c r="G24" s="819">
        <f>G31+G39</f>
        <v>1400000</v>
      </c>
      <c r="H24" s="554">
        <f>H31+H39</f>
        <v>1650000</v>
      </c>
    </row>
    <row r="25" spans="2:8" outlineLevel="2">
      <c r="B25" s="719"/>
      <c r="C25" s="719"/>
      <c r="D25" s="38" t="s">
        <v>1638</v>
      </c>
      <c r="E25" s="719"/>
      <c r="F25" s="618"/>
      <c r="G25" s="819">
        <f>G32+G40</f>
        <v>0</v>
      </c>
      <c r="H25" s="554">
        <f>H32+H40</f>
        <v>0</v>
      </c>
    </row>
    <row r="26" spans="2:8" s="551" customFormat="1" outlineLevel="2">
      <c r="B26" s="719"/>
      <c r="C26" s="719"/>
      <c r="D26" s="721" t="s">
        <v>1858</v>
      </c>
      <c r="E26" s="719"/>
      <c r="F26" s="618"/>
      <c r="G26" s="819">
        <f>G34+G42</f>
        <v>187500</v>
      </c>
      <c r="H26" s="554">
        <f>H34+H42</f>
        <v>112500</v>
      </c>
    </row>
    <row r="27" spans="2:8" s="551" customFormat="1" outlineLevel="2">
      <c r="B27" s="719"/>
      <c r="C27" s="719"/>
      <c r="D27" s="721" t="s">
        <v>1857</v>
      </c>
      <c r="E27" s="719"/>
      <c r="F27" s="618"/>
      <c r="G27" s="819">
        <f>G37+G45</f>
        <v>62500</v>
      </c>
      <c r="H27" s="554">
        <f>H37+H45</f>
        <v>37500</v>
      </c>
    </row>
    <row r="28" spans="2:8" outlineLevel="2">
      <c r="B28" s="719"/>
      <c r="C28" s="719"/>
      <c r="D28" s="38" t="s">
        <v>1852</v>
      </c>
      <c r="E28" s="719"/>
      <c r="F28" s="618"/>
      <c r="G28" s="819">
        <f>G35+G43</f>
        <v>0</v>
      </c>
      <c r="H28" s="554">
        <f>H35+H43</f>
        <v>0</v>
      </c>
    </row>
    <row r="29" spans="2:8" outlineLevel="2">
      <c r="B29" s="719"/>
      <c r="C29" s="719"/>
      <c r="D29" s="38" t="s">
        <v>1853</v>
      </c>
      <c r="E29" s="719"/>
      <c r="F29" s="618"/>
      <c r="G29" s="819">
        <f>G36+G44</f>
        <v>250000</v>
      </c>
      <c r="H29" s="554">
        <f>H36+H44</f>
        <v>150000</v>
      </c>
    </row>
    <row r="30" spans="2:8" s="551" customFormat="1" outlineLevel="1">
      <c r="B30" s="719"/>
      <c r="C30" s="644" t="s">
        <v>1846</v>
      </c>
      <c r="D30" s="38"/>
      <c r="E30" s="719"/>
      <c r="F30" s="618"/>
      <c r="G30" s="816"/>
      <c r="H30" s="818"/>
    </row>
    <row r="31" spans="2:8" s="551" customFormat="1" outlineLevel="2">
      <c r="B31" s="719"/>
      <c r="C31" s="719"/>
      <c r="D31" s="721" t="s">
        <v>1848</v>
      </c>
      <c r="E31" s="719"/>
      <c r="F31" s="618"/>
      <c r="G31" s="820">
        <v>1400000</v>
      </c>
      <c r="H31" s="457">
        <v>1650000</v>
      </c>
    </row>
    <row r="32" spans="2:8" s="551" customFormat="1" outlineLevel="2">
      <c r="B32" s="719"/>
      <c r="C32" s="719"/>
      <c r="D32" s="721" t="s">
        <v>1849</v>
      </c>
      <c r="E32" s="719"/>
      <c r="F32" s="618"/>
      <c r="G32" s="820"/>
      <c r="H32" s="457"/>
    </row>
    <row r="33" spans="2:8" s="551" customFormat="1" outlineLevel="2">
      <c r="B33" s="719"/>
      <c r="C33" s="719"/>
      <c r="D33" s="721" t="s">
        <v>1850</v>
      </c>
      <c r="E33" s="719"/>
      <c r="F33" s="618"/>
      <c r="G33" s="457">
        <f>G31/G36</f>
        <v>5.6</v>
      </c>
      <c r="H33" s="457">
        <f>H31/H36</f>
        <v>11</v>
      </c>
    </row>
    <row r="34" spans="2:8" s="551" customFormat="1" outlineLevel="2">
      <c r="B34" s="719"/>
      <c r="C34" s="719"/>
      <c r="D34" s="721" t="s">
        <v>1855</v>
      </c>
      <c r="E34" s="719"/>
      <c r="F34" s="618"/>
      <c r="G34" s="821">
        <f>G36-G37</f>
        <v>187500</v>
      </c>
      <c r="H34" s="821">
        <f>H36-H37</f>
        <v>112500</v>
      </c>
    </row>
    <row r="35" spans="2:8" s="551" customFormat="1" outlineLevel="2">
      <c r="B35" s="719"/>
      <c r="C35" s="719"/>
      <c r="D35" s="721" t="s">
        <v>1851</v>
      </c>
      <c r="E35" s="719"/>
      <c r="F35" s="618"/>
      <c r="G35" s="821"/>
      <c r="H35" s="822"/>
    </row>
    <row r="36" spans="2:8" s="551" customFormat="1" outlineLevel="2">
      <c r="B36" s="719"/>
      <c r="C36" s="719"/>
      <c r="D36" s="721" t="s">
        <v>1854</v>
      </c>
      <c r="E36" s="719"/>
      <c r="F36" s="618"/>
      <c r="G36" s="821">
        <v>250000</v>
      </c>
      <c r="H36" s="822">
        <v>150000</v>
      </c>
    </row>
    <row r="37" spans="2:8" s="551" customFormat="1" outlineLevel="2">
      <c r="B37" s="719"/>
      <c r="C37" s="719"/>
      <c r="D37" s="721" t="s">
        <v>1856</v>
      </c>
      <c r="E37" s="719"/>
      <c r="F37" s="618"/>
      <c r="G37" s="821">
        <f>0.25*G36</f>
        <v>62500</v>
      </c>
      <c r="H37" s="821">
        <f>0.25*H36</f>
        <v>37500</v>
      </c>
    </row>
    <row r="38" spans="2:8" s="551" customFormat="1" outlineLevel="1" collapsed="1">
      <c r="B38" s="719"/>
      <c r="C38" s="644" t="s">
        <v>1847</v>
      </c>
      <c r="D38" s="719"/>
      <c r="E38" s="38"/>
      <c r="F38" s="618"/>
      <c r="G38" s="816"/>
      <c r="H38" s="818"/>
    </row>
    <row r="39" spans="2:8" s="551" customFormat="1" hidden="1" outlineLevel="2">
      <c r="B39" s="719"/>
      <c r="C39" s="719"/>
      <c r="D39" s="721" t="s">
        <v>1848</v>
      </c>
      <c r="E39" s="719"/>
      <c r="F39" s="618"/>
      <c r="G39" s="820"/>
      <c r="H39" s="823"/>
    </row>
    <row r="40" spans="2:8" s="551" customFormat="1" hidden="1" outlineLevel="2">
      <c r="B40" s="719"/>
      <c r="C40" s="719"/>
      <c r="D40" s="721" t="s">
        <v>1849</v>
      </c>
      <c r="E40" s="719"/>
      <c r="F40" s="618"/>
      <c r="G40" s="820"/>
      <c r="H40" s="823"/>
    </row>
    <row r="41" spans="2:8" s="551" customFormat="1" hidden="1" outlineLevel="2">
      <c r="B41" s="719"/>
      <c r="C41" s="719"/>
      <c r="D41" s="721" t="s">
        <v>1850</v>
      </c>
      <c r="E41" s="719"/>
      <c r="F41" s="618"/>
      <c r="G41" s="820"/>
      <c r="H41" s="823"/>
    </row>
    <row r="42" spans="2:8" s="551" customFormat="1" hidden="1" outlineLevel="2">
      <c r="B42" s="719"/>
      <c r="C42" s="719"/>
      <c r="D42" s="721" t="s">
        <v>1855</v>
      </c>
      <c r="E42" s="719"/>
      <c r="F42" s="618"/>
      <c r="G42" s="821">
        <f>IF(G41&lt;&gt;0,G39/G41,0)</f>
        <v>0</v>
      </c>
      <c r="H42" s="822">
        <f>IF(H41&lt;&gt;0,H39/H41,0)</f>
        <v>0</v>
      </c>
    </row>
    <row r="43" spans="2:8" s="551" customFormat="1" hidden="1" outlineLevel="2">
      <c r="B43" s="719"/>
      <c r="C43" s="719"/>
      <c r="D43" s="721" t="s">
        <v>1851</v>
      </c>
      <c r="E43" s="719"/>
      <c r="F43" s="618"/>
      <c r="G43" s="821">
        <f>IF(G41&lt;&gt;0,2*G39/G41,0)</f>
        <v>0</v>
      </c>
      <c r="H43" s="822">
        <f>IF(H41&lt;&gt;0,2*H39/H41,0)</f>
        <v>0</v>
      </c>
    </row>
    <row r="44" spans="2:8" s="551" customFormat="1" hidden="1" outlineLevel="2">
      <c r="B44" s="719"/>
      <c r="C44" s="719"/>
      <c r="D44" s="721" t="s">
        <v>1854</v>
      </c>
      <c r="E44" s="719"/>
      <c r="F44" s="618"/>
      <c r="G44" s="821">
        <f>G42</f>
        <v>0</v>
      </c>
      <c r="H44" s="822">
        <f>H42</f>
        <v>0</v>
      </c>
    </row>
    <row r="45" spans="2:8" s="551" customFormat="1" hidden="1" outlineLevel="2">
      <c r="B45" s="719"/>
      <c r="C45" s="719"/>
      <c r="D45" s="721" t="s">
        <v>1856</v>
      </c>
      <c r="E45" s="719"/>
      <c r="F45" s="618"/>
      <c r="G45" s="821">
        <f>G44-G42</f>
        <v>0</v>
      </c>
      <c r="H45" s="822">
        <f>H44-H42</f>
        <v>0</v>
      </c>
    </row>
    <row r="46" spans="2:8" s="551" customFormat="1" ht="13.8">
      <c r="B46" s="1460" t="s">
        <v>854</v>
      </c>
      <c r="C46" s="1460"/>
      <c r="D46" s="1460"/>
      <c r="E46" s="1460"/>
      <c r="F46" s="618"/>
      <c r="G46" s="816"/>
      <c r="H46" s="818"/>
    </row>
    <row r="47" spans="2:8" outlineLevel="1">
      <c r="B47" s="719"/>
      <c r="C47" s="719" t="s">
        <v>854</v>
      </c>
      <c r="D47" s="719"/>
      <c r="E47" s="719"/>
      <c r="F47" s="124"/>
      <c r="G47" s="819">
        <v>800000</v>
      </c>
      <c r="H47" s="658">
        <v>800000</v>
      </c>
    </row>
    <row r="48" spans="2:8" s="551" customFormat="1" ht="13.8" collapsed="1">
      <c r="B48" s="1461" t="s">
        <v>1937</v>
      </c>
      <c r="C48" s="1461"/>
      <c r="D48" s="1461"/>
      <c r="E48" s="1461"/>
      <c r="F48" s="618"/>
      <c r="G48" s="816"/>
      <c r="H48" s="817"/>
    </row>
    <row r="49" spans="2:13" hidden="1" outlineLevel="1">
      <c r="B49" s="719"/>
      <c r="C49" s="38" t="s">
        <v>1935</v>
      </c>
      <c r="D49" s="38"/>
      <c r="E49" s="38"/>
      <c r="F49" s="618"/>
      <c r="G49" s="821">
        <f>'2050 Actif'!J39</f>
        <v>44000</v>
      </c>
      <c r="H49" s="824">
        <f>'2050 Actif'!O39</f>
        <v>1455200</v>
      </c>
    </row>
    <row r="50" spans="2:13" hidden="1" outlineLevel="1">
      <c r="B50" s="719"/>
      <c r="C50" s="38" t="s">
        <v>1936</v>
      </c>
      <c r="D50" s="38"/>
      <c r="E50" s="38"/>
      <c r="F50" s="618"/>
      <c r="G50" s="821">
        <f>'2051 Passif'!L33</f>
        <v>92000</v>
      </c>
      <c r="H50" s="822">
        <f>'2051 Passif'!M33</f>
        <v>19700</v>
      </c>
    </row>
    <row r="51" spans="2:13" s="551" customFormat="1" ht="13.8" collapsed="1">
      <c r="B51" s="1461" t="s">
        <v>1934</v>
      </c>
      <c r="C51" s="1461"/>
      <c r="D51" s="1461"/>
      <c r="E51" s="1461"/>
      <c r="F51" s="618"/>
      <c r="G51" s="816"/>
      <c r="H51" s="817"/>
    </row>
    <row r="52" spans="2:13" s="551" customFormat="1" hidden="1" outlineLevel="1">
      <c r="B52" s="719"/>
      <c r="C52" s="1458" t="s">
        <v>1940</v>
      </c>
      <c r="D52" s="1111"/>
      <c r="E52" s="1459"/>
      <c r="F52" s="618"/>
      <c r="G52" s="821">
        <f>'2050 Actif'!J34</f>
        <v>0</v>
      </c>
      <c r="H52" s="822">
        <f>'2050 Actif'!O34</f>
        <v>0</v>
      </c>
    </row>
    <row r="53" spans="2:13" hidden="1" outlineLevel="1">
      <c r="B53" s="719"/>
      <c r="C53" s="1458" t="s">
        <v>1939</v>
      </c>
      <c r="D53" s="1111"/>
      <c r="E53" s="1459"/>
      <c r="F53" s="618"/>
      <c r="G53" s="821"/>
      <c r="H53" s="824"/>
    </row>
    <row r="54" spans="2:13" hidden="1" outlineLevel="1">
      <c r="B54" s="719"/>
      <c r="C54" s="1458" t="s">
        <v>1970</v>
      </c>
      <c r="D54" s="1111"/>
      <c r="E54" s="1459"/>
      <c r="F54" s="618"/>
      <c r="G54" s="819"/>
      <c r="H54" s="658"/>
    </row>
    <row r="55" spans="2:13" hidden="1" outlineLevel="1">
      <c r="B55" s="719"/>
      <c r="C55" s="1458" t="s">
        <v>1938</v>
      </c>
      <c r="D55" s="1111"/>
      <c r="E55" s="1459"/>
      <c r="F55" s="124"/>
      <c r="G55" s="819"/>
      <c r="H55" s="658"/>
    </row>
    <row r="56" spans="2:13" hidden="1" outlineLevel="1">
      <c r="B56" s="719"/>
      <c r="C56" s="1458" t="s">
        <v>1971</v>
      </c>
      <c r="D56" s="1111"/>
      <c r="E56" s="1459"/>
      <c r="F56" s="124"/>
      <c r="G56" s="944"/>
      <c r="H56" s="79"/>
    </row>
    <row r="57" spans="2:13" hidden="1" outlineLevel="1">
      <c r="B57" s="719"/>
      <c r="C57" s="1458" t="s">
        <v>1972</v>
      </c>
      <c r="D57" s="1111"/>
      <c r="E57" s="1459"/>
      <c r="F57" s="124"/>
      <c r="G57" s="944"/>
      <c r="H57" s="79"/>
    </row>
    <row r="58" spans="2:13" hidden="1" outlineLevel="1">
      <c r="B58" s="719"/>
      <c r="C58" s="1458" t="s">
        <v>853</v>
      </c>
      <c r="D58" s="1111"/>
      <c r="E58" s="1459"/>
      <c r="F58" s="618"/>
      <c r="G58" s="821">
        <f>'2051 Passif'!L43</f>
        <v>0</v>
      </c>
      <c r="H58" s="824">
        <f>'2051 Passif'!M43</f>
        <v>0</v>
      </c>
    </row>
    <row r="59" spans="2:13" s="551" customFormat="1" ht="13.8" collapsed="1">
      <c r="B59" s="1461" t="s">
        <v>1933</v>
      </c>
      <c r="C59" s="1461"/>
      <c r="D59" s="1461"/>
      <c r="E59" s="1461"/>
      <c r="F59" s="618"/>
      <c r="G59" s="816"/>
      <c r="H59" s="817"/>
    </row>
    <row r="60" spans="2:13" hidden="1" outlineLevel="1">
      <c r="B60" s="719"/>
      <c r="C60" s="38" t="s">
        <v>849</v>
      </c>
      <c r="D60" s="38"/>
      <c r="E60" s="38"/>
      <c r="F60" s="618"/>
      <c r="G60" s="819"/>
      <c r="H60" s="658"/>
    </row>
    <row r="61" spans="2:13" hidden="1" outlineLevel="1">
      <c r="B61" s="719"/>
      <c r="C61" s="38" t="s">
        <v>850</v>
      </c>
      <c r="D61" s="38"/>
      <c r="E61" s="38"/>
      <c r="F61" s="618"/>
      <c r="G61" s="819"/>
      <c r="H61" s="658"/>
    </row>
    <row r="62" spans="2:13" hidden="1" outlineLevel="1">
      <c r="B62" s="719"/>
      <c r="C62" s="38" t="s">
        <v>871</v>
      </c>
      <c r="D62" s="38"/>
      <c r="E62" s="38"/>
      <c r="F62" s="618"/>
      <c r="G62" s="821">
        <f>'2051 Passif'!L44</f>
        <v>0</v>
      </c>
      <c r="H62" s="824">
        <f>'2051 Passif'!M44</f>
        <v>0</v>
      </c>
    </row>
    <row r="63" spans="2:13" ht="13.8" collapsed="1">
      <c r="B63" s="1462" t="s">
        <v>1645</v>
      </c>
      <c r="C63" s="1462"/>
      <c r="D63" s="1462"/>
      <c r="E63" s="1462"/>
      <c r="F63" s="810"/>
      <c r="G63" s="816"/>
      <c r="H63" s="817"/>
      <c r="J63" s="645"/>
      <c r="K63" s="647" t="s">
        <v>838</v>
      </c>
      <c r="M63" s="663" t="s">
        <v>838</v>
      </c>
    </row>
    <row r="64" spans="2:13" hidden="1" outlineLevel="1" collapsed="1">
      <c r="B64" s="719"/>
      <c r="C64" s="117" t="s">
        <v>83</v>
      </c>
      <c r="D64" s="117"/>
      <c r="E64" s="117"/>
      <c r="F64" s="812"/>
      <c r="G64" s="821">
        <f>'2052 et 2053 CR par nature'!K70</f>
        <v>0</v>
      </c>
      <c r="H64" s="824">
        <f>'2052 et 2053 CR par nature'!L70</f>
        <v>0</v>
      </c>
      <c r="J64" s="645" t="s">
        <v>1915</v>
      </c>
      <c r="K64" s="72">
        <f>'2052 et 2053 CR par nature'!K13-'2056 Dépréciations e provisions'!N38</f>
        <v>0</v>
      </c>
      <c r="L64" s="662" t="s">
        <v>1917</v>
      </c>
      <c r="M64" s="72">
        <f>'2055 Amortissements'!O28</f>
        <v>0</v>
      </c>
    </row>
    <row r="65" spans="2:11" hidden="1" outlineLevel="2">
      <c r="B65" s="719"/>
      <c r="C65" s="719"/>
      <c r="D65" s="31" t="s">
        <v>333</v>
      </c>
      <c r="E65" s="31"/>
      <c r="F65" s="469"/>
      <c r="G65" s="825"/>
      <c r="H65" s="826"/>
      <c r="J65" s="645" t="s">
        <v>1916</v>
      </c>
      <c r="K65" s="72">
        <f>'2055 Amortissements'!O28</f>
        <v>0</v>
      </c>
    </row>
    <row r="66" spans="2:11" hidden="1" outlineLevel="2">
      <c r="B66" s="719"/>
      <c r="C66" s="719"/>
      <c r="D66" s="31" t="s">
        <v>334</v>
      </c>
      <c r="E66" s="31"/>
      <c r="F66" s="469"/>
      <c r="G66" s="819"/>
      <c r="H66" s="658"/>
      <c r="J66" s="645"/>
      <c r="K66" s="645"/>
    </row>
    <row r="67" spans="2:11" hidden="1" outlineLevel="2">
      <c r="B67" s="719"/>
      <c r="C67" s="719"/>
      <c r="D67" s="31" t="s">
        <v>335</v>
      </c>
      <c r="E67" s="31"/>
      <c r="F67" s="469"/>
      <c r="G67" s="819"/>
      <c r="H67" s="658"/>
      <c r="J67" s="645"/>
      <c r="K67" s="645"/>
    </row>
    <row r="68" spans="2:11" hidden="1" outlineLevel="2">
      <c r="B68" s="719"/>
      <c r="C68" s="719"/>
      <c r="D68" s="31" t="s">
        <v>336</v>
      </c>
      <c r="E68" s="31"/>
      <c r="F68" s="469"/>
      <c r="G68" s="819"/>
      <c r="H68" s="658"/>
      <c r="J68" s="645"/>
      <c r="K68" s="645"/>
    </row>
    <row r="69" spans="2:11" s="551" customFormat="1" hidden="1" outlineLevel="2">
      <c r="B69" s="912"/>
      <c r="C69" s="912"/>
      <c r="D69" s="38" t="s">
        <v>2019</v>
      </c>
      <c r="E69" s="911"/>
      <c r="F69" s="910"/>
      <c r="G69" s="819"/>
      <c r="H69" s="658"/>
      <c r="J69" s="912"/>
      <c r="K69" s="912"/>
    </row>
    <row r="70" spans="2:11" hidden="1" outlineLevel="1">
      <c r="B70" s="719"/>
      <c r="C70" s="117" t="s">
        <v>1307</v>
      </c>
      <c r="D70" s="117"/>
      <c r="E70" s="117"/>
      <c r="F70" s="812"/>
      <c r="G70" s="819"/>
      <c r="H70" s="658"/>
      <c r="J70" s="662" t="s">
        <v>1915</v>
      </c>
      <c r="K70" s="72">
        <f>'2052 et 2053 CR par nature'!K36-'2056 Dépréciations e provisions'!N39</f>
        <v>0</v>
      </c>
    </row>
    <row r="71" spans="2:11" hidden="1" outlineLevel="1">
      <c r="B71" s="719"/>
      <c r="C71" s="117" t="s">
        <v>1308</v>
      </c>
      <c r="D71" s="117"/>
      <c r="E71" s="117"/>
      <c r="F71" s="812"/>
      <c r="G71" s="819"/>
      <c r="H71" s="658"/>
      <c r="J71" s="662" t="s">
        <v>1915</v>
      </c>
      <c r="K71" s="72">
        <f>'2052 et 2053 CR par nature'!K49-'2056 Dépréciations e provisions'!N40</f>
        <v>0</v>
      </c>
    </row>
    <row r="72" spans="2:11" s="551" customFormat="1" ht="13.8">
      <c r="B72" s="1460" t="s">
        <v>1715</v>
      </c>
      <c r="C72" s="1460"/>
      <c r="D72" s="1460"/>
      <c r="E72" s="1460"/>
      <c r="F72" s="812"/>
      <c r="G72" s="816"/>
      <c r="H72" s="818"/>
    </row>
    <row r="73" spans="2:11" outlineLevel="1">
      <c r="B73" s="719"/>
      <c r="C73" s="117" t="s">
        <v>1312</v>
      </c>
      <c r="D73" s="117"/>
      <c r="E73" s="117"/>
      <c r="F73" s="812"/>
      <c r="G73" s="819">
        <v>120000</v>
      </c>
      <c r="H73" s="658">
        <v>120000</v>
      </c>
    </row>
    <row r="74" spans="2:11" outlineLevel="1">
      <c r="B74" s="719"/>
      <c r="C74" s="117" t="s">
        <v>1314</v>
      </c>
      <c r="D74" s="117"/>
      <c r="E74" s="117"/>
      <c r="F74" s="812"/>
      <c r="G74" s="819"/>
      <c r="H74" s="658"/>
    </row>
    <row r="75" spans="2:11" s="551" customFormat="1" ht="13.8" collapsed="1">
      <c r="B75" s="1460" t="s">
        <v>1714</v>
      </c>
      <c r="C75" s="1460"/>
      <c r="D75" s="1460"/>
      <c r="E75" s="1460"/>
      <c r="F75" s="812"/>
      <c r="G75" s="816"/>
      <c r="H75" s="818"/>
    </row>
    <row r="76" spans="2:11" hidden="1" outlineLevel="1">
      <c r="B76" s="719"/>
      <c r="C76" s="117" t="s">
        <v>1313</v>
      </c>
      <c r="D76" s="117"/>
      <c r="E76" s="117"/>
      <c r="F76" s="812"/>
      <c r="G76" s="819"/>
      <c r="H76" s="658"/>
    </row>
    <row r="77" spans="2:11" s="551" customFormat="1" ht="13.8" collapsed="1">
      <c r="B77" s="1460" t="s">
        <v>1710</v>
      </c>
      <c r="C77" s="1460"/>
      <c r="D77" s="1460"/>
      <c r="E77" s="1460"/>
      <c r="F77" s="812"/>
      <c r="G77" s="816"/>
      <c r="H77" s="818"/>
    </row>
    <row r="78" spans="2:11" hidden="1" outlineLevel="1">
      <c r="B78" s="719"/>
      <c r="C78" s="117" t="s">
        <v>107</v>
      </c>
      <c r="D78" s="117"/>
      <c r="E78" s="117"/>
      <c r="F78" s="812"/>
      <c r="G78" s="819"/>
      <c r="H78" s="658"/>
    </row>
    <row r="79" spans="2:11" hidden="1" outlineLevel="1">
      <c r="B79" s="719"/>
      <c r="C79" s="117" t="s">
        <v>102</v>
      </c>
      <c r="D79" s="117"/>
      <c r="E79" s="117"/>
      <c r="F79" s="812"/>
      <c r="G79" s="819"/>
      <c r="H79" s="658"/>
    </row>
    <row r="80" spans="2:11" s="551" customFormat="1" ht="13.8" collapsed="1">
      <c r="B80" s="1460" t="s">
        <v>1711</v>
      </c>
      <c r="C80" s="1460"/>
      <c r="D80" s="1460"/>
      <c r="E80" s="1460"/>
      <c r="F80" s="812"/>
      <c r="G80" s="816"/>
      <c r="H80" s="818"/>
    </row>
    <row r="81" spans="2:12" s="551" customFormat="1" hidden="1" outlineLevel="1">
      <c r="B81" s="117"/>
      <c r="C81" s="117" t="s">
        <v>1712</v>
      </c>
      <c r="D81" s="117"/>
      <c r="E81" s="117"/>
      <c r="F81" s="812"/>
      <c r="G81" s="819"/>
      <c r="H81" s="658"/>
    </row>
    <row r="82" spans="2:12" s="551" customFormat="1" hidden="1" outlineLevel="1">
      <c r="B82" s="117"/>
      <c r="C82" s="117" t="s">
        <v>1713</v>
      </c>
      <c r="D82" s="117"/>
      <c r="E82" s="117"/>
      <c r="F82" s="812"/>
      <c r="G82" s="819"/>
      <c r="H82" s="658"/>
    </row>
    <row r="83" spans="2:12" ht="13.8">
      <c r="B83" s="1460" t="s">
        <v>1646</v>
      </c>
      <c r="C83" s="1460"/>
      <c r="D83" s="1460"/>
      <c r="E83" s="1460"/>
      <c r="F83" s="810"/>
      <c r="G83" s="816"/>
      <c r="H83" s="817"/>
      <c r="J83" s="675" t="s">
        <v>1918</v>
      </c>
      <c r="K83" s="676" t="s">
        <v>838</v>
      </c>
      <c r="L83" s="676" t="s">
        <v>839</v>
      </c>
    </row>
    <row r="84" spans="2:12" outlineLevel="1">
      <c r="B84" s="719"/>
      <c r="C84" s="38" t="s">
        <v>1647</v>
      </c>
      <c r="D84" s="719"/>
      <c r="E84" s="719"/>
      <c r="F84" s="124"/>
      <c r="G84" s="827">
        <f>SUM(G85:G94)-G90-G91</f>
        <v>0</v>
      </c>
      <c r="H84" s="951">
        <f>SUM(H85:H94)-H90-H91</f>
        <v>0</v>
      </c>
      <c r="J84" s="678"/>
      <c r="K84" s="677">
        <f>'2050 Actif'!$M$43</f>
        <v>150000</v>
      </c>
      <c r="L84" s="677">
        <f>'2050 Actif'!S43</f>
        <v>0</v>
      </c>
    </row>
    <row r="85" spans="2:12" ht="14.4" outlineLevel="2">
      <c r="B85" s="719"/>
      <c r="C85" s="719"/>
      <c r="D85" s="87" t="s">
        <v>718</v>
      </c>
      <c r="E85" s="87"/>
      <c r="F85" s="813"/>
      <c r="G85" s="819"/>
      <c r="H85" s="658"/>
    </row>
    <row r="86" spans="2:12" ht="14.4" outlineLevel="2">
      <c r="B86" s="719"/>
      <c r="C86" s="719"/>
      <c r="D86" s="87" t="s">
        <v>860</v>
      </c>
      <c r="E86" s="87"/>
      <c r="F86" s="813"/>
      <c r="G86" s="819"/>
      <c r="H86" s="658"/>
    </row>
    <row r="87" spans="2:12" ht="14.4" outlineLevel="2">
      <c r="B87" s="719"/>
      <c r="C87" s="719"/>
      <c r="D87" s="87" t="s">
        <v>861</v>
      </c>
      <c r="E87" s="87"/>
      <c r="F87" s="813"/>
      <c r="G87" s="819"/>
      <c r="H87" s="658"/>
    </row>
    <row r="88" spans="2:12" ht="14.4" outlineLevel="2">
      <c r="B88" s="719"/>
      <c r="C88" s="719"/>
      <c r="D88" s="87" t="s">
        <v>719</v>
      </c>
      <c r="E88" s="87"/>
      <c r="F88" s="813"/>
      <c r="G88" s="819"/>
      <c r="H88" s="658"/>
    </row>
    <row r="89" spans="2:12" ht="14.4" outlineLevel="2" collapsed="1">
      <c r="B89" s="719"/>
      <c r="C89" s="719"/>
      <c r="D89" s="87" t="s">
        <v>857</v>
      </c>
      <c r="E89" s="87"/>
      <c r="F89" s="813"/>
      <c r="G89" s="819"/>
      <c r="H89" s="658"/>
    </row>
    <row r="90" spans="2:12" s="551" customFormat="1" ht="28.8" hidden="1" outlineLevel="3">
      <c r="B90" s="901"/>
      <c r="C90" s="901"/>
      <c r="D90" s="87"/>
      <c r="E90" s="87" t="s">
        <v>1991</v>
      </c>
      <c r="F90" s="904" t="s">
        <v>1995</v>
      </c>
      <c r="G90" s="819"/>
      <c r="H90" s="658"/>
    </row>
    <row r="91" spans="2:12" s="551" customFormat="1" ht="28.8" hidden="1" outlineLevel="3">
      <c r="B91" s="901"/>
      <c r="C91" s="901"/>
      <c r="D91" s="87"/>
      <c r="E91" s="87" t="s">
        <v>1992</v>
      </c>
      <c r="F91" s="904" t="s">
        <v>1995</v>
      </c>
      <c r="G91" s="819"/>
      <c r="H91" s="658"/>
    </row>
    <row r="92" spans="2:12" ht="14.4" outlineLevel="2">
      <c r="B92" s="719"/>
      <c r="C92" s="719"/>
      <c r="D92" s="87" t="s">
        <v>720</v>
      </c>
      <c r="E92" s="87"/>
      <c r="F92" s="813"/>
      <c r="G92" s="819"/>
      <c r="H92" s="658"/>
    </row>
    <row r="93" spans="2:12" ht="14.4" outlineLevel="2">
      <c r="B93" s="719"/>
      <c r="C93" s="719"/>
      <c r="D93" s="87" t="s">
        <v>859</v>
      </c>
      <c r="E93" s="87"/>
      <c r="F93" s="813"/>
      <c r="G93" s="819"/>
      <c r="H93" s="658"/>
    </row>
    <row r="94" spans="2:12" ht="14.4" outlineLevel="2">
      <c r="B94" s="719"/>
      <c r="C94" s="719"/>
      <c r="D94" s="87" t="s">
        <v>858</v>
      </c>
      <c r="E94" s="87"/>
      <c r="F94" s="813"/>
      <c r="G94" s="819"/>
      <c r="H94" s="658"/>
    </row>
    <row r="95" spans="2:12" outlineLevel="1" collapsed="1">
      <c r="B95" s="719"/>
      <c r="C95" s="38" t="s">
        <v>1648</v>
      </c>
      <c r="D95" s="719"/>
      <c r="E95" s="719"/>
      <c r="F95" s="124"/>
      <c r="G95" s="827">
        <f>SUM(G96:G105)-G101-G102</f>
        <v>0</v>
      </c>
      <c r="H95" s="951">
        <f>SUM(H96:H105)-H101-H102</f>
        <v>0</v>
      </c>
      <c r="J95" s="680"/>
      <c r="K95" s="679">
        <f>'2051 Passif'!L35</f>
        <v>0</v>
      </c>
      <c r="L95" s="679">
        <f>'2051 Passif'!M35</f>
        <v>0</v>
      </c>
    </row>
    <row r="96" spans="2:12" ht="14.4" hidden="1" outlineLevel="2">
      <c r="B96" s="719"/>
      <c r="C96" s="719"/>
      <c r="D96" s="87" t="s">
        <v>862</v>
      </c>
      <c r="E96" s="87"/>
      <c r="F96" s="813"/>
      <c r="G96" s="819"/>
      <c r="H96" s="554"/>
    </row>
    <row r="97" spans="2:8" ht="14.4" hidden="1" outlineLevel="2">
      <c r="B97" s="719"/>
      <c r="C97" s="719"/>
      <c r="D97" s="87" t="s">
        <v>863</v>
      </c>
      <c r="E97" s="87"/>
      <c r="F97" s="813"/>
      <c r="G97" s="819"/>
      <c r="H97" s="554"/>
    </row>
    <row r="98" spans="2:8" ht="14.4" hidden="1" outlineLevel="2">
      <c r="B98" s="719"/>
      <c r="C98" s="719"/>
      <c r="D98" s="87" t="s">
        <v>864</v>
      </c>
      <c r="E98" s="87"/>
      <c r="F98" s="813"/>
      <c r="G98" s="819"/>
      <c r="H98" s="554"/>
    </row>
    <row r="99" spans="2:8" ht="14.4" hidden="1" outlineLevel="2">
      <c r="B99" s="719"/>
      <c r="C99" s="719"/>
      <c r="D99" s="87" t="s">
        <v>865</v>
      </c>
      <c r="E99" s="87"/>
      <c r="F99" s="813"/>
      <c r="G99" s="819"/>
      <c r="H99" s="554"/>
    </row>
    <row r="100" spans="2:8" ht="14.4" hidden="1" outlineLevel="2" collapsed="1">
      <c r="B100" s="719"/>
      <c r="C100" s="719"/>
      <c r="D100" s="87" t="s">
        <v>866</v>
      </c>
      <c r="E100" s="87"/>
      <c r="F100" s="813"/>
      <c r="G100" s="819"/>
      <c r="H100" s="554"/>
    </row>
    <row r="101" spans="2:8" s="551" customFormat="1" ht="28.8" hidden="1" outlineLevel="3">
      <c r="B101" s="901"/>
      <c r="C101" s="901"/>
      <c r="D101" s="87"/>
      <c r="E101" s="87" t="s">
        <v>1993</v>
      </c>
      <c r="F101" s="904" t="s">
        <v>1995</v>
      </c>
      <c r="G101" s="819"/>
      <c r="H101" s="658"/>
    </row>
    <row r="102" spans="2:8" s="551" customFormat="1" ht="28.8" hidden="1" outlineLevel="3">
      <c r="B102" s="901"/>
      <c r="C102" s="901"/>
      <c r="D102" s="87"/>
      <c r="E102" s="87" t="s">
        <v>1994</v>
      </c>
      <c r="F102" s="904" t="s">
        <v>1995</v>
      </c>
      <c r="G102" s="819"/>
      <c r="H102" s="658"/>
    </row>
    <row r="103" spans="2:8" ht="14.4" hidden="1" outlineLevel="2">
      <c r="B103" s="719"/>
      <c r="C103" s="719"/>
      <c r="D103" s="87" t="s">
        <v>867</v>
      </c>
      <c r="E103" s="87"/>
      <c r="F103" s="813"/>
      <c r="G103" s="819"/>
      <c r="H103" s="554"/>
    </row>
    <row r="104" spans="2:8" ht="14.4" hidden="1" outlineLevel="2">
      <c r="B104" s="719"/>
      <c r="C104" s="719"/>
      <c r="D104" s="87" t="s">
        <v>868</v>
      </c>
      <c r="E104" s="87"/>
      <c r="F104" s="813"/>
      <c r="G104" s="819"/>
      <c r="H104" s="554"/>
    </row>
    <row r="105" spans="2:8" ht="14.4" hidden="1" outlineLevel="2">
      <c r="B105" s="719"/>
      <c r="C105" s="719"/>
      <c r="D105" s="87" t="s">
        <v>869</v>
      </c>
      <c r="E105" s="87"/>
      <c r="F105" s="813"/>
      <c r="G105" s="819"/>
      <c r="H105" s="554"/>
    </row>
    <row r="106" spans="2:8" s="551" customFormat="1" ht="13.8" collapsed="1">
      <c r="B106" s="1462" t="s">
        <v>1944</v>
      </c>
      <c r="C106" s="1462"/>
      <c r="D106" s="1462"/>
      <c r="E106" s="1462"/>
      <c r="F106" s="810"/>
      <c r="G106" s="814"/>
      <c r="H106" s="815"/>
    </row>
    <row r="107" spans="2:8" hidden="1" outlineLevel="1">
      <c r="B107" s="719"/>
      <c r="C107" s="38" t="s">
        <v>851</v>
      </c>
      <c r="D107" s="720"/>
      <c r="E107" s="674"/>
      <c r="F107" s="618"/>
      <c r="G107" s="819"/>
      <c r="H107" s="658"/>
    </row>
    <row r="108" spans="2:8" hidden="1" outlineLevel="1">
      <c r="B108" s="719"/>
      <c r="C108" s="38" t="s">
        <v>66</v>
      </c>
      <c r="D108" s="720"/>
      <c r="E108" s="674"/>
      <c r="F108" s="618"/>
      <c r="G108" s="819"/>
      <c r="H108" s="658"/>
    </row>
    <row r="109" spans="2:8" hidden="1" outlineLevel="1">
      <c r="B109" s="719"/>
      <c r="C109" s="38" t="s">
        <v>621</v>
      </c>
      <c r="D109" s="720"/>
      <c r="E109" s="674"/>
      <c r="F109" s="945" t="s">
        <v>1943</v>
      </c>
      <c r="G109" s="946"/>
      <c r="H109" s="947"/>
    </row>
    <row r="110" spans="2:8" s="551" customFormat="1" hidden="1" outlineLevel="1">
      <c r="B110" s="943"/>
      <c r="C110" s="38" t="s">
        <v>192</v>
      </c>
      <c r="D110" s="941"/>
      <c r="E110" s="942"/>
      <c r="F110" s="940" t="s">
        <v>2037</v>
      </c>
      <c r="G110" s="948"/>
      <c r="H110" s="658"/>
    </row>
    <row r="111" spans="2:8" s="551" customFormat="1" hidden="1" outlineLevel="1">
      <c r="B111" s="691"/>
      <c r="C111" s="949" t="s">
        <v>1277</v>
      </c>
      <c r="D111" s="929"/>
      <c r="E111" s="950"/>
      <c r="F111" s="945" t="s">
        <v>2038</v>
      </c>
      <c r="G111" s="946"/>
      <c r="H111" s="947"/>
    </row>
    <row r="112" spans="2:8" s="551" customFormat="1" ht="26.4" hidden="1" outlineLevel="1">
      <c r="B112" s="943"/>
      <c r="C112" s="38" t="s">
        <v>2040</v>
      </c>
      <c r="D112" s="38"/>
      <c r="E112" s="38"/>
      <c r="F112" s="617" t="s">
        <v>2041</v>
      </c>
      <c r="G112" s="948"/>
      <c r="H112" s="658"/>
    </row>
    <row r="113" spans="2:8" s="551" customFormat="1" ht="27" hidden="1" outlineLevel="1" thickBot="1">
      <c r="B113" s="943"/>
      <c r="C113" s="38" t="s">
        <v>2042</v>
      </c>
      <c r="D113" s="38"/>
      <c r="E113" s="38"/>
      <c r="F113" s="617" t="s">
        <v>2043</v>
      </c>
      <c r="G113" s="828"/>
      <c r="H113" s="659"/>
    </row>
    <row r="115" spans="2:8" ht="13.8">
      <c r="B115" s="1462" t="s">
        <v>1981</v>
      </c>
      <c r="C115" s="1462"/>
      <c r="D115" s="1462"/>
      <c r="E115" s="1462"/>
    </row>
    <row r="116" spans="2:8">
      <c r="B116" s="189" t="s">
        <v>1989</v>
      </c>
    </row>
    <row r="117" spans="2:8">
      <c r="B117" s="189" t="s">
        <v>1990</v>
      </c>
      <c r="G117" s="903">
        <f>G26</f>
        <v>187500</v>
      </c>
    </row>
  </sheetData>
  <mergeCells count="42">
    <mergeCell ref="J13:L16"/>
    <mergeCell ref="G21:H21"/>
    <mergeCell ref="B115:E115"/>
    <mergeCell ref="G13:H13"/>
    <mergeCell ref="G14:H14"/>
    <mergeCell ref="G15:H15"/>
    <mergeCell ref="G16:H16"/>
    <mergeCell ref="C54:E54"/>
    <mergeCell ref="C55:E55"/>
    <mergeCell ref="C56:E56"/>
    <mergeCell ref="C57:E57"/>
    <mergeCell ref="C58:E58"/>
    <mergeCell ref="B59:E59"/>
    <mergeCell ref="B51:E51"/>
    <mergeCell ref="B106:E106"/>
    <mergeCell ref="B22:E22"/>
    <mergeCell ref="B2:H2"/>
    <mergeCell ref="G20:H20"/>
    <mergeCell ref="G18:H18"/>
    <mergeCell ref="G19:H19"/>
    <mergeCell ref="G10:H10"/>
    <mergeCell ref="G11:H11"/>
    <mergeCell ref="B9:E9"/>
    <mergeCell ref="B8:C8"/>
    <mergeCell ref="B17:E17"/>
    <mergeCell ref="G12:H12"/>
    <mergeCell ref="C20:E20"/>
    <mergeCell ref="C19:E19"/>
    <mergeCell ref="C18:E18"/>
    <mergeCell ref="C6:D6"/>
    <mergeCell ref="C5:D5"/>
    <mergeCell ref="C21:E21"/>
    <mergeCell ref="B80:E80"/>
    <mergeCell ref="B83:E83"/>
    <mergeCell ref="B77:E77"/>
    <mergeCell ref="B48:E48"/>
    <mergeCell ref="B72:E72"/>
    <mergeCell ref="B46:E46"/>
    <mergeCell ref="B63:E63"/>
    <mergeCell ref="C52:E52"/>
    <mergeCell ref="C53:E53"/>
    <mergeCell ref="B75:E75"/>
  </mergeCells>
  <conditionalFormatting sqref="G84:H84">
    <cfRule type="cellIs" dxfId="15" priority="11" operator="notEqual">
      <formula>$K$84</formula>
    </cfRule>
    <cfRule type="cellIs" dxfId="14" priority="12" operator="equal">
      <formula>$K$84</formula>
    </cfRule>
  </conditionalFormatting>
  <conditionalFormatting sqref="H84">
    <cfRule type="cellIs" dxfId="13" priority="9" operator="notEqual">
      <formula>$L$84</formula>
    </cfRule>
    <cfRule type="cellIs" dxfId="12" priority="10" operator="equal">
      <formula>$L$84</formula>
    </cfRule>
  </conditionalFormatting>
  <conditionalFormatting sqref="G95:H95">
    <cfRule type="cellIs" dxfId="11" priority="7" operator="notEqual">
      <formula>$K$95</formula>
    </cfRule>
    <cfRule type="cellIs" dxfId="10" priority="8" operator="equal">
      <formula>$K$95</formula>
    </cfRule>
  </conditionalFormatting>
  <conditionalFormatting sqref="H95">
    <cfRule type="cellIs" dxfId="9" priority="5" operator="notEqual">
      <formula>$L$95</formula>
    </cfRule>
    <cfRule type="cellIs" dxfId="8" priority="6" operator="equal">
      <formula>$L$95</formula>
    </cfRule>
  </conditionalFormatting>
  <dataValidations count="1">
    <dataValidation type="list" allowBlank="1" showInputMessage="1" showErrorMessage="1" sqref="G18:G19 G10:G16 G20:H21">
      <formula1>"Oui,Non"</formula1>
    </dataValidation>
  </dataValidations>
  <hyperlinks>
    <hyperlink ref="A1" location="Sommaire!A1" display="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3</vt:i4>
      </vt:variant>
    </vt:vector>
  </HeadingPairs>
  <TitlesOfParts>
    <vt:vector size="19" baseType="lpstr">
      <vt:lpstr>Sommaire</vt:lpstr>
      <vt:lpstr>2050 Actif</vt:lpstr>
      <vt:lpstr>2051 Passif</vt:lpstr>
      <vt:lpstr>2052 et 2053 CR par nature</vt:lpstr>
      <vt:lpstr>2054 Immobilisations</vt:lpstr>
      <vt:lpstr>2055 Amortissements</vt:lpstr>
      <vt:lpstr>2056 Dépréciations e provisions</vt:lpstr>
      <vt:lpstr>2057 Créances et Dettes</vt:lpstr>
      <vt:lpstr>Informations complémentaire</vt:lpstr>
      <vt:lpstr>Calcul intermédiaire</vt:lpstr>
      <vt:lpstr>SIG</vt:lpstr>
      <vt:lpstr>CAF</vt:lpstr>
      <vt:lpstr>Bilan Fonctionnel</vt:lpstr>
      <vt:lpstr>Bilan économique</vt:lpstr>
      <vt:lpstr>Bilan financier (patrimoinial)</vt:lpstr>
      <vt:lpstr>FRNG BFR et TN fonctionnels</vt:lpstr>
      <vt:lpstr>PCEA_N</vt:lpstr>
      <vt:lpstr>taux_IS</vt:lpstr>
      <vt:lpstr>VCEAC_N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Pub_PRDJ</dc:creator>
  <cp:lastModifiedBy>elafritm</cp:lastModifiedBy>
  <cp:lastPrinted>2014-10-17T10:09:21Z</cp:lastPrinted>
  <dcterms:created xsi:type="dcterms:W3CDTF">2014-12-27T18:17:21Z</dcterms:created>
  <dcterms:modified xsi:type="dcterms:W3CDTF">2016-06-07T14:30:25Z</dcterms:modified>
</cp:coreProperties>
</file>