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afrit\Downloads\Portfolio\"/>
    </mc:Choice>
  </mc:AlternateContent>
  <bookViews>
    <workbookView xWindow="0" yWindow="0" windowWidth="28800" windowHeight="12435" tabRatio="909" activeTab="7"/>
  </bookViews>
  <sheets>
    <sheet name="DJIA Index" sheetId="39" r:id="rId1"/>
    <sheet name="OAT" sheetId="32" r:id="rId2"/>
    <sheet name="TOTAL" sheetId="34" r:id="rId3"/>
    <sheet name="ACCENTURE" sheetId="35" r:id="rId4"/>
    <sheet name="APPLE" sheetId="36" r:id="rId5"/>
    <sheet name="CGI" sheetId="37" r:id="rId6"/>
    <sheet name="Portfolio" sheetId="40" r:id="rId7"/>
    <sheet name="Ptf-2-Asstes" sheetId="41" r:id="rId8"/>
    <sheet name="Ptf-3-Asstes" sheetId="42" r:id="rId9"/>
  </sheets>
  <definedNames>
    <definedName name="DHZETEZTEETZE" hidden="1">{"smallview","Scenario 2001",FALSE,"Solution35";"fullview","Scenario 2001",FALSE,"Solution35";"smallview","Scenario 2002",FALSE,"Solution35";"fullview","Scenario 2002",FALSE,"Solution35";"smallview","Scenario 2003",FALSE,"Solution35";"fullview","Scenario 2003",FALSE,"Solution35"}</definedName>
    <definedName name="plgCumules" localSheetId="3">OFFSET(ACCENTURE!$J$11:$J$40,0,0,ACCENTURE!$M$14+2,1)</definedName>
    <definedName name="plgCumules" localSheetId="4">OFFSET(APPLE!$J$11:$J$40,0,0,APPLE!$M$14+2,1)</definedName>
    <definedName name="plgCumules" localSheetId="5">OFFSET(CGI!$J$11:$J$40,0,0,CGI!$M$14+2,1)</definedName>
    <definedName name="plgCumules" localSheetId="0">OFFSET('DJIA Index'!$J$11:$J$40,0,0,'DJIA Index'!$M$14+2,1)</definedName>
    <definedName name="plgCumules" localSheetId="1">OFFSET(OAT!$I$11:$I$40,0,0,OAT!$L$14+2,1)</definedName>
    <definedName name="plgCumules" localSheetId="2">OFFSET(TOTAL!$J$11:$J$40,0,0,TOTAL!$M$14+2,1)</definedName>
    <definedName name="plgFrequences" localSheetId="3">OFFSET(ACCENTURE!$I$11:$I$40,0,0,ACCENTURE!$M$14+2,1)</definedName>
    <definedName name="plgFrequences" localSheetId="4">OFFSET(APPLE!$I$11:$I$40,0,0,APPLE!$M$14+2,1)</definedName>
    <definedName name="plgFrequences" localSheetId="5">OFFSET(CGI!$I$11:$I$40,0,0,CGI!$M$14+2,1)</definedName>
    <definedName name="plgFrequences" localSheetId="0">OFFSET('DJIA Index'!$I$11:$I$40,0,0,'DJIA Index'!$M$14+2,1)</definedName>
    <definedName name="plgFrequences" localSheetId="1">OFFSET(OAT!$H$11:$H$40,0,0,OAT!$L$14+2,1)</definedName>
    <definedName name="plgFrequences" localSheetId="2">OFFSET(TOTAL!$I$11:$I$40,0,0,TOTAL!$M$14+2,1)</definedName>
    <definedName name="plgIntervalles" localSheetId="3">OFFSET(ACCENTURE!$G$11:$G$40,0,0,ACCENTURE!$M$14+2,1)</definedName>
    <definedName name="plgIntervalles" localSheetId="4">OFFSET(APPLE!$G$11:$G$40,0,0,APPLE!$M$14+2,1)</definedName>
    <definedName name="plgIntervalles" localSheetId="5">OFFSET(CGI!$G$11:$G$40,0,0,CGI!$M$14+2,1)</definedName>
    <definedName name="plgIntervalles" localSheetId="0">OFFSET('DJIA Index'!$G$11:$G$40,0,0,'DJIA Index'!$M$14+2,1)</definedName>
    <definedName name="plgIntervalles" localSheetId="1">OFFSET(OAT!$F$11:$F$40,0,0,OAT!$L$14+2,1)</definedName>
    <definedName name="plgIntervalles" localSheetId="2">OFFSET(TOTAL!$G$11:$G$40,0,0,TOTAL!$M$14+2,1)</definedName>
    <definedName name="wrn.Rap1." hidden="1">{"page1",#N/A,FALSE,"Feuil1";"page2",#N/A,FALSE,"Feuil1"}</definedName>
    <definedName name="wrn.Rapport._.2001._.à._.2003." hidden="1">{"vuerestreinte","Scénario 2001",FALSE,"Solution35";"vuetotale","Scénario 2001",FALSE,"Solution35";"vuerestreinte","Scénario 2002",FALSE,"Solution35";"vuetotale","Scénario 2002",FALSE,"Solution35";"vuerestreinte","Scénario 2003",FALSE,"Solution35";"vuetotale","Scénario 2003",FALSE,"Solution35"}</definedName>
    <definedName name="wrn.Scenarios._.2001_2003." hidden="1">{"smallview","Scenario 2001",FALSE,"Solution35";"fullview","Scenario 2001",FALSE,"Solution35";"smallview","Scenario 2002",FALSE,"Solution35";"fullview","Scenario 2002",FALSE,"Solution35";"smallview","Scenario 2003",FALSE,"Solution35";"fullview","Scenario 2003",FALSE,"Solution35"}</definedName>
    <definedName name="ZTEUZTTZT" hidden="1">{"vuerestreinte","Scénario 2001",FALSE,"Solution35";"vuetotale","Scénario 2001",FALSE,"Solution35";"vuerestreinte","Scénario 2002",FALSE,"Solution35";"vuetotale","Scénario 2002",FALSE,"Solution35";"vuerestreinte","Scénario 2003",FALSE,"Solution35";"vuetotale","Scénario 2003",FALSE,"Solution35"}</definedName>
  </definedNames>
  <calcPr calcId="152511"/>
</workbook>
</file>

<file path=xl/calcChain.xml><?xml version="1.0" encoding="utf-8"?>
<calcChain xmlns="http://schemas.openxmlformats.org/spreadsheetml/2006/main">
  <c r="R3" i="41" l="1"/>
  <c r="Q4" i="41"/>
  <c r="Q5" i="41"/>
  <c r="Q6" i="41"/>
  <c r="Q7" i="41"/>
  <c r="Q8" i="41"/>
  <c r="Q9" i="41"/>
  <c r="Q10" i="41"/>
  <c r="Q11" i="41"/>
  <c r="Q12" i="41"/>
  <c r="Q13" i="41"/>
  <c r="Q14" i="41"/>
  <c r="Q15" i="41"/>
  <c r="Q16" i="41"/>
  <c r="Q17" i="41"/>
  <c r="Q18" i="41"/>
  <c r="Q19" i="41"/>
  <c r="Q20" i="41"/>
  <c r="Q21" i="41"/>
  <c r="Q22" i="41"/>
  <c r="Q23" i="41"/>
  <c r="Q3" i="41"/>
  <c r="T21" i="42"/>
  <c r="T22" i="42"/>
  <c r="T23" i="42"/>
  <c r="T17" i="42"/>
  <c r="T18" i="42"/>
  <c r="T19" i="42"/>
  <c r="T20" i="42"/>
  <c r="T16" i="42"/>
  <c r="T15" i="42"/>
  <c r="T14" i="42"/>
  <c r="T4" i="42"/>
  <c r="T5" i="42"/>
  <c r="T6" i="42"/>
  <c r="T7" i="42"/>
  <c r="T8" i="42"/>
  <c r="T9" i="42"/>
  <c r="T10" i="42"/>
  <c r="T11" i="42"/>
  <c r="T12" i="42"/>
  <c r="T13" i="42"/>
  <c r="T3" i="42"/>
  <c r="K4" i="42"/>
  <c r="K5" i="42"/>
  <c r="K6" i="42"/>
  <c r="K7" i="42"/>
  <c r="K8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J4" i="42"/>
  <c r="J5" i="42"/>
  <c r="J6" i="42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J65" i="42"/>
  <c r="I4" i="42"/>
  <c r="I5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G52" i="41"/>
  <c r="H52" i="41"/>
  <c r="G53" i="41"/>
  <c r="H53" i="41"/>
  <c r="G54" i="41"/>
  <c r="H54" i="41"/>
  <c r="G55" i="41"/>
  <c r="H55" i="41"/>
  <c r="G56" i="41"/>
  <c r="H56" i="41"/>
  <c r="G57" i="41"/>
  <c r="H57" i="41"/>
  <c r="G58" i="41"/>
  <c r="H58" i="41"/>
  <c r="G59" i="41"/>
  <c r="H59" i="41"/>
  <c r="G60" i="41"/>
  <c r="H60" i="41"/>
  <c r="G61" i="41"/>
  <c r="H61" i="41"/>
  <c r="G62" i="41"/>
  <c r="H62" i="41"/>
  <c r="G63" i="41"/>
  <c r="H63" i="41"/>
  <c r="G64" i="41"/>
  <c r="H64" i="41"/>
  <c r="G65" i="41"/>
  <c r="H65" i="41"/>
  <c r="H5" i="41"/>
  <c r="H6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4" i="41"/>
  <c r="O4" i="41"/>
  <c r="O5" i="41"/>
  <c r="O6" i="41"/>
  <c r="O7" i="41"/>
  <c r="O8" i="41"/>
  <c r="O9" i="41"/>
  <c r="O10" i="41"/>
  <c r="O11" i="41"/>
  <c r="O12" i="41"/>
  <c r="O13" i="41"/>
  <c r="O14" i="41"/>
  <c r="O15" i="41"/>
  <c r="O16" i="41"/>
  <c r="O17" i="41"/>
  <c r="O18" i="41"/>
  <c r="O19" i="41"/>
  <c r="O20" i="41"/>
  <c r="O21" i="41"/>
  <c r="O22" i="41"/>
  <c r="O23" i="41"/>
  <c r="O3" i="41"/>
  <c r="C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4" i="37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4" i="36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4" i="35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4" i="34"/>
  <c r="P12" i="42"/>
  <c r="O12" i="42"/>
  <c r="N12" i="42"/>
  <c r="P19" i="42"/>
  <c r="O19" i="42"/>
  <c r="N19" i="42"/>
  <c r="N18" i="42"/>
  <c r="O18" i="42"/>
  <c r="P18" i="42"/>
  <c r="P17" i="42"/>
  <c r="O17" i="42"/>
  <c r="N17" i="42"/>
  <c r="P11" i="42"/>
  <c r="O11" i="42"/>
  <c r="N11" i="42"/>
  <c r="P7" i="42"/>
  <c r="P6" i="42"/>
  <c r="O7" i="42"/>
  <c r="N7" i="42"/>
  <c r="O6" i="42"/>
  <c r="N6" i="42"/>
  <c r="P5" i="42"/>
  <c r="O5" i="42"/>
  <c r="N5" i="42"/>
  <c r="O13" i="42" l="1"/>
  <c r="P13" i="42"/>
  <c r="N13" i="42"/>
  <c r="R9" i="41"/>
  <c r="R8" i="41"/>
  <c r="R7" i="41"/>
  <c r="R22" i="41"/>
  <c r="R6" i="41"/>
  <c r="R21" i="41"/>
  <c r="R5" i="41"/>
  <c r="R20" i="41"/>
  <c r="R12" i="41"/>
  <c r="R4" i="41"/>
  <c r="R18" i="41"/>
  <c r="R10" i="41"/>
  <c r="R17" i="41"/>
  <c r="R16" i="41"/>
  <c r="R23" i="41"/>
  <c r="R15" i="41"/>
  <c r="R14" i="41"/>
  <c r="R13" i="41"/>
  <c r="R19" i="41"/>
  <c r="R11" i="41"/>
  <c r="U4" i="42" a="1"/>
  <c r="U4" i="42" s="1"/>
  <c r="U8" i="42" a="1"/>
  <c r="U8" i="42" s="1"/>
  <c r="U12" i="42" a="1"/>
  <c r="U12" i="42" s="1"/>
  <c r="U16" i="42" a="1"/>
  <c r="U16" i="42" s="1"/>
  <c r="U20" i="42" a="1"/>
  <c r="U20" i="42" s="1"/>
  <c r="U9" i="42" a="1"/>
  <c r="U9" i="42" s="1"/>
  <c r="U13" i="42" a="1"/>
  <c r="U13" i="42" s="1"/>
  <c r="U17" i="42" a="1"/>
  <c r="U17" i="42" s="1"/>
  <c r="U21" i="42" a="1"/>
  <c r="U21" i="42" s="1"/>
  <c r="U5" i="42" a="1"/>
  <c r="U5" i="42" s="1"/>
  <c r="U6" i="42" a="1"/>
  <c r="U6" i="42" s="1"/>
  <c r="U10" i="42" a="1"/>
  <c r="U10" i="42" s="1"/>
  <c r="U14" i="42" a="1"/>
  <c r="U14" i="42" s="1"/>
  <c r="U18" i="42" a="1"/>
  <c r="U18" i="42" s="1"/>
  <c r="U22" i="42" a="1"/>
  <c r="U22" i="42" s="1"/>
  <c r="U7" i="42" a="1"/>
  <c r="U7" i="42" s="1"/>
  <c r="U11" i="42" a="1"/>
  <c r="U11" i="42" s="1"/>
  <c r="U15" i="42" a="1"/>
  <c r="U15" i="42" s="1"/>
  <c r="U19" i="42" a="1"/>
  <c r="U19" i="42" s="1"/>
  <c r="U23" i="42" a="1"/>
  <c r="U23" i="42" s="1"/>
  <c r="U3" i="42" a="1"/>
  <c r="U3" i="42" s="1"/>
  <c r="V4" i="42" a="1"/>
  <c r="V4" i="42" s="1"/>
  <c r="V8" i="42" a="1"/>
  <c r="V8" i="42" s="1"/>
  <c r="V12" i="42" a="1"/>
  <c r="V12" i="42" s="1"/>
  <c r="V16" i="42" a="1"/>
  <c r="V16" i="42" s="1"/>
  <c r="V20" i="42" a="1"/>
  <c r="V20" i="42" s="1"/>
  <c r="V14" i="42" a="1"/>
  <c r="V14" i="42" s="1"/>
  <c r="V18" i="42" a="1"/>
  <c r="V18" i="42" s="1"/>
  <c r="V7" i="42" a="1"/>
  <c r="V7" i="42" s="1"/>
  <c r="V23" i="42" a="1"/>
  <c r="V23" i="42" s="1"/>
  <c r="V21" i="42" a="1"/>
  <c r="V21" i="42" s="1"/>
  <c r="V10" i="42" a="1"/>
  <c r="V10" i="42" s="1"/>
  <c r="V15" i="42" a="1"/>
  <c r="V15" i="42" s="1"/>
  <c r="V5" i="42" a="1"/>
  <c r="V5" i="42" s="1"/>
  <c r="V9" i="42" a="1"/>
  <c r="V9" i="42" s="1"/>
  <c r="V13" i="42" a="1"/>
  <c r="V13" i="42" s="1"/>
  <c r="V17" i="42" a="1"/>
  <c r="V17" i="42" s="1"/>
  <c r="V6" i="42" a="1"/>
  <c r="V6" i="42" s="1"/>
  <c r="V22" i="42" a="1"/>
  <c r="V22" i="42" s="1"/>
  <c r="V11" i="42" a="1"/>
  <c r="V11" i="42" s="1"/>
  <c r="V19" i="42" a="1"/>
  <c r="V19" i="42" s="1"/>
  <c r="V3" i="42" a="1"/>
  <c r="V3" i="42" s="1"/>
  <c r="K4" i="41"/>
  <c r="L4" i="41"/>
  <c r="K3" i="41"/>
  <c r="L3" i="41"/>
  <c r="K6" i="41"/>
  <c r="K5" i="41"/>
  <c r="P20" i="41" l="1"/>
  <c r="P10" i="41"/>
  <c r="P23" i="41"/>
  <c r="P12" i="41"/>
  <c r="P16" i="41"/>
  <c r="P9" i="41"/>
  <c r="P17" i="41"/>
  <c r="P21" i="41"/>
  <c r="P15" i="41"/>
  <c r="P5" i="41"/>
  <c r="P11" i="41"/>
  <c r="P4" i="41"/>
  <c r="P14" i="41"/>
  <c r="P18" i="41"/>
  <c r="P6" i="41"/>
  <c r="P3" i="41"/>
  <c r="P7" i="41"/>
  <c r="P19" i="41"/>
  <c r="P22" i="41"/>
  <c r="P8" i="41"/>
  <c r="P13" i="41"/>
  <c r="C5" i="39" l="1"/>
  <c r="C6" i="39"/>
  <c r="C7" i="39"/>
  <c r="C8" i="39"/>
  <c r="V15" i="39" s="1"/>
  <c r="C9" i="39"/>
  <c r="C10" i="39"/>
  <c r="V8" i="39" s="1"/>
  <c r="C11" i="39"/>
  <c r="P8" i="39" s="1"/>
  <c r="C12" i="39"/>
  <c r="V17" i="39" s="1"/>
  <c r="C13" i="39"/>
  <c r="C14" i="39"/>
  <c r="C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4" i="39"/>
  <c r="F5" i="40"/>
  <c r="G5" i="40"/>
  <c r="V16" i="39"/>
  <c r="H7" i="39"/>
  <c r="C5" i="40" s="1"/>
  <c r="E2" i="39"/>
  <c r="V23" i="37"/>
  <c r="V24" i="37" s="1"/>
  <c r="V22" i="37"/>
  <c r="V18" i="37"/>
  <c r="V19" i="37" s="1"/>
  <c r="V20" i="37" s="1"/>
  <c r="V17" i="37"/>
  <c r="V16" i="37"/>
  <c r="V15" i="37"/>
  <c r="V14" i="37"/>
  <c r="V13" i="37"/>
  <c r="H3" i="37" s="1"/>
  <c r="P10" i="37"/>
  <c r="M10" i="37" s="1"/>
  <c r="V8" i="37"/>
  <c r="P8" i="37"/>
  <c r="H8" i="37"/>
  <c r="F9" i="40" s="1"/>
  <c r="H7" i="37"/>
  <c r="G9" i="40" s="1"/>
  <c r="M2" i="37"/>
  <c r="R8" i="37" s="1"/>
  <c r="E2" i="37"/>
  <c r="V23" i="36"/>
  <c r="V24" i="36" s="1"/>
  <c r="V22" i="36"/>
  <c r="V18" i="36"/>
  <c r="V19" i="36" s="1"/>
  <c r="V20" i="36" s="1"/>
  <c r="V17" i="36"/>
  <c r="V16" i="36"/>
  <c r="V15" i="36"/>
  <c r="V14" i="36"/>
  <c r="V13" i="36" s="1"/>
  <c r="V12" i="36" s="1"/>
  <c r="P10" i="36"/>
  <c r="V8" i="36"/>
  <c r="P8" i="36"/>
  <c r="H8" i="36"/>
  <c r="F8" i="40" s="1"/>
  <c r="H7" i="36"/>
  <c r="G8" i="40" s="1"/>
  <c r="M2" i="36"/>
  <c r="R8" i="36" s="1"/>
  <c r="E2" i="36"/>
  <c r="V23" i="35"/>
  <c r="V24" i="35" s="1"/>
  <c r="V22" i="35"/>
  <c r="V18" i="35"/>
  <c r="V19" i="35" s="1"/>
  <c r="V20" i="35" s="1"/>
  <c r="V17" i="35"/>
  <c r="V9" i="35" s="1"/>
  <c r="V16" i="35"/>
  <c r="V15" i="35"/>
  <c r="V14" i="35"/>
  <c r="V13" i="35" s="1"/>
  <c r="H3" i="35" s="1"/>
  <c r="P10" i="35"/>
  <c r="V8" i="35"/>
  <c r="P8" i="35"/>
  <c r="H8" i="35"/>
  <c r="F7" i="40" s="1"/>
  <c r="H7" i="35"/>
  <c r="G7" i="40" s="1"/>
  <c r="M2" i="35"/>
  <c r="R8" i="35" s="1"/>
  <c r="E2" i="35"/>
  <c r="V23" i="34"/>
  <c r="V24" i="34" s="1"/>
  <c r="V22" i="34"/>
  <c r="V18" i="34"/>
  <c r="V19" i="34" s="1"/>
  <c r="V20" i="34" s="1"/>
  <c r="V17" i="34"/>
  <c r="V16" i="34"/>
  <c r="V15" i="34"/>
  <c r="V14" i="34"/>
  <c r="V13" i="34" s="1"/>
  <c r="P10" i="34"/>
  <c r="V8" i="34"/>
  <c r="P8" i="34"/>
  <c r="H8" i="34"/>
  <c r="F6" i="40" s="1"/>
  <c r="H7" i="34"/>
  <c r="G6" i="40" s="1"/>
  <c r="M2" i="34"/>
  <c r="R8" i="34" s="1"/>
  <c r="E2" i="34"/>
  <c r="D2" i="32"/>
  <c r="G8" i="32"/>
  <c r="G7" i="32"/>
  <c r="U23" i="32"/>
  <c r="U24" i="32" s="1"/>
  <c r="U22" i="32"/>
  <c r="U18" i="32"/>
  <c r="U19" i="32" s="1"/>
  <c r="U20" i="32" s="1"/>
  <c r="U17" i="32"/>
  <c r="U16" i="32"/>
  <c r="U15" i="32"/>
  <c r="U14" i="32"/>
  <c r="U13" i="32" s="1"/>
  <c r="G3" i="32" s="1"/>
  <c r="O10" i="32"/>
  <c r="U8" i="32"/>
  <c r="O8" i="32"/>
  <c r="G2" i="32"/>
  <c r="F11" i="32" s="1"/>
  <c r="L2" i="32"/>
  <c r="L7" i="32" s="1"/>
  <c r="H2" i="37" l="1"/>
  <c r="G11" i="37" s="1"/>
  <c r="V9" i="37"/>
  <c r="V9" i="36"/>
  <c r="H2" i="36"/>
  <c r="G11" i="36" s="1"/>
  <c r="M10" i="35"/>
  <c r="H2" i="35"/>
  <c r="G11" i="35" s="1"/>
  <c r="H2" i="34"/>
  <c r="G11" i="34" s="1"/>
  <c r="V9" i="34"/>
  <c r="M8" i="34"/>
  <c r="V23" i="39"/>
  <c r="V24" i="39" s="1"/>
  <c r="H8" i="39"/>
  <c r="B5" i="40" s="1"/>
  <c r="V18" i="39"/>
  <c r="V19" i="39" s="1"/>
  <c r="V20" i="39" s="1"/>
  <c r="V22" i="39"/>
  <c r="P10" i="39"/>
  <c r="V14" i="39"/>
  <c r="V13" i="39" s="1"/>
  <c r="V12" i="39" s="1"/>
  <c r="M2" i="39"/>
  <c r="R8" i="39" s="1"/>
  <c r="V9" i="39"/>
  <c r="M6" i="39"/>
  <c r="H2" i="39"/>
  <c r="G11" i="39" s="1"/>
  <c r="M8" i="39"/>
  <c r="M5" i="39"/>
  <c r="M6" i="37"/>
  <c r="M9" i="37"/>
  <c r="H6" i="37"/>
  <c r="M7" i="37"/>
  <c r="M14" i="37" s="1"/>
  <c r="F12" i="37" s="1"/>
  <c r="V12" i="37"/>
  <c r="M8" i="37"/>
  <c r="M5" i="37"/>
  <c r="M10" i="36"/>
  <c r="M6" i="36"/>
  <c r="M9" i="36"/>
  <c r="H3" i="36"/>
  <c r="M8" i="36"/>
  <c r="M7" i="36"/>
  <c r="M14" i="36" s="1"/>
  <c r="F12" i="36" s="1"/>
  <c r="M5" i="36"/>
  <c r="M9" i="35"/>
  <c r="M6" i="35"/>
  <c r="H6" i="35"/>
  <c r="H4" i="35"/>
  <c r="M8" i="35"/>
  <c r="M7" i="35"/>
  <c r="M14" i="35" s="1"/>
  <c r="F12" i="35" s="1"/>
  <c r="V12" i="35"/>
  <c r="M5" i="35"/>
  <c r="M10" i="34"/>
  <c r="M6" i="34"/>
  <c r="M9" i="34"/>
  <c r="H3" i="34"/>
  <c r="V12" i="34"/>
  <c r="M7" i="34"/>
  <c r="M14" i="34" s="1"/>
  <c r="F12" i="34" s="1"/>
  <c r="M5" i="34"/>
  <c r="L10" i="32"/>
  <c r="U9" i="32"/>
  <c r="G4" i="32"/>
  <c r="G6" i="32"/>
  <c r="Q8" i="32"/>
  <c r="L8" i="32" s="1"/>
  <c r="L6" i="32"/>
  <c r="L9" i="32"/>
  <c r="L5" i="32"/>
  <c r="U12" i="32"/>
  <c r="H4" i="37" l="1"/>
  <c r="H5" i="37" s="1"/>
  <c r="G12" i="37" s="1"/>
  <c r="H3" i="39"/>
  <c r="M10" i="39"/>
  <c r="M7" i="39"/>
  <c r="M14" i="39" s="1"/>
  <c r="F12" i="39" s="1"/>
  <c r="F13" i="39" s="1"/>
  <c r="M9" i="39"/>
  <c r="H4" i="39"/>
  <c r="H6" i="39"/>
  <c r="F13" i="37"/>
  <c r="H4" i="36"/>
  <c r="H5" i="36" s="1"/>
  <c r="G12" i="36" s="1"/>
  <c r="H6" i="36"/>
  <c r="F13" i="36"/>
  <c r="H5" i="35"/>
  <c r="G12" i="35" s="1"/>
  <c r="G13" i="35" s="1"/>
  <c r="G14" i="35" s="1"/>
  <c r="G15" i="35" s="1"/>
  <c r="G16" i="35" s="1"/>
  <c r="G17" i="35" s="1"/>
  <c r="G18" i="35" s="1"/>
  <c r="G19" i="35" s="1"/>
  <c r="G20" i="35" s="1"/>
  <c r="G21" i="35" s="1"/>
  <c r="G22" i="35" s="1"/>
  <c r="G23" i="35" s="1"/>
  <c r="G24" i="35" s="1"/>
  <c r="G25" i="35" s="1"/>
  <c r="G26" i="35" s="1"/>
  <c r="G27" i="35" s="1"/>
  <c r="G28" i="35" s="1"/>
  <c r="G29" i="35" s="1"/>
  <c r="G30" i="35" s="1"/>
  <c r="G31" i="35" s="1"/>
  <c r="G32" i="35" s="1"/>
  <c r="G33" i="35" s="1"/>
  <c r="G34" i="35" s="1"/>
  <c r="G35" i="35" s="1"/>
  <c r="G36" i="35" s="1"/>
  <c r="G37" i="35" s="1"/>
  <c r="G38" i="35" s="1"/>
  <c r="G39" i="35" s="1"/>
  <c r="G40" i="35" s="1"/>
  <c r="F13" i="35"/>
  <c r="F13" i="34"/>
  <c r="H4" i="34"/>
  <c r="H5" i="34" s="1"/>
  <c r="G12" i="34" s="1"/>
  <c r="H6" i="34"/>
  <c r="L14" i="32"/>
  <c r="E12" i="32" s="1"/>
  <c r="E13" i="32" s="1"/>
  <c r="H5" i="39" l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F14" i="39"/>
  <c r="F14" i="37"/>
  <c r="G13" i="37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G25" i="37" s="1"/>
  <c r="G26" i="37" s="1"/>
  <c r="G27" i="37" s="1"/>
  <c r="G28" i="37" s="1"/>
  <c r="G29" i="37" s="1"/>
  <c r="G30" i="37" s="1"/>
  <c r="G31" i="37" s="1"/>
  <c r="G32" i="37" s="1"/>
  <c r="G33" i="37" s="1"/>
  <c r="G34" i="37" s="1"/>
  <c r="G35" i="37" s="1"/>
  <c r="G36" i="37" s="1"/>
  <c r="G37" i="37" s="1"/>
  <c r="G38" i="37" s="1"/>
  <c r="G39" i="37" s="1"/>
  <c r="G40" i="37" s="1"/>
  <c r="F14" i="36"/>
  <c r="G13" i="36"/>
  <c r="G14" i="36" s="1"/>
  <c r="G15" i="36" s="1"/>
  <c r="G16" i="36" s="1"/>
  <c r="G17" i="36" s="1"/>
  <c r="G18" i="36" s="1"/>
  <c r="G19" i="36" s="1"/>
  <c r="G20" i="36" s="1"/>
  <c r="G21" i="36" s="1"/>
  <c r="G22" i="36" s="1"/>
  <c r="G23" i="36" s="1"/>
  <c r="G24" i="36" s="1"/>
  <c r="G25" i="36" s="1"/>
  <c r="G26" i="36" s="1"/>
  <c r="G27" i="36" s="1"/>
  <c r="G28" i="36" s="1"/>
  <c r="G29" i="36" s="1"/>
  <c r="G30" i="36" s="1"/>
  <c r="G31" i="36" s="1"/>
  <c r="G32" i="36" s="1"/>
  <c r="G33" i="36" s="1"/>
  <c r="G34" i="36" s="1"/>
  <c r="G35" i="36" s="1"/>
  <c r="G36" i="36" s="1"/>
  <c r="G37" i="36" s="1"/>
  <c r="G38" i="36" s="1"/>
  <c r="G39" i="36" s="1"/>
  <c r="G40" i="36" s="1"/>
  <c r="H11" i="35" a="1"/>
  <c r="F14" i="35"/>
  <c r="G13" i="34"/>
  <c r="G14" i="34" s="1"/>
  <c r="G15" i="34" s="1"/>
  <c r="G16" i="34" s="1"/>
  <c r="G17" i="34" s="1"/>
  <c r="G18" i="34" s="1"/>
  <c r="G19" i="34" s="1"/>
  <c r="G20" i="34" s="1"/>
  <c r="G21" i="34" s="1"/>
  <c r="G22" i="34" s="1"/>
  <c r="G23" i="34" s="1"/>
  <c r="G24" i="34" s="1"/>
  <c r="G25" i="34" s="1"/>
  <c r="G26" i="34" s="1"/>
  <c r="G27" i="34" s="1"/>
  <c r="G28" i="34" s="1"/>
  <c r="G29" i="34" s="1"/>
  <c r="G30" i="34" s="1"/>
  <c r="G31" i="34" s="1"/>
  <c r="G32" i="34" s="1"/>
  <c r="G33" i="34" s="1"/>
  <c r="G34" i="34" s="1"/>
  <c r="G35" i="34" s="1"/>
  <c r="G36" i="34" s="1"/>
  <c r="G37" i="34" s="1"/>
  <c r="G38" i="34" s="1"/>
  <c r="G39" i="34" s="1"/>
  <c r="G40" i="34" s="1"/>
  <c r="F14" i="34"/>
  <c r="G5" i="32"/>
  <c r="F12" i="32" s="1"/>
  <c r="F13" i="32" s="1"/>
  <c r="F14" i="32" s="1"/>
  <c r="F15" i="32" s="1"/>
  <c r="F16" i="32" s="1"/>
  <c r="F17" i="32" s="1"/>
  <c r="F18" i="32" s="1"/>
  <c r="F19" i="32" s="1"/>
  <c r="F20" i="32" s="1"/>
  <c r="F21" i="32" s="1"/>
  <c r="F22" i="32" s="1"/>
  <c r="F23" i="32" s="1"/>
  <c r="F24" i="32" s="1"/>
  <c r="F25" i="32" s="1"/>
  <c r="F26" i="32" s="1"/>
  <c r="F27" i="32" s="1"/>
  <c r="F28" i="32" s="1"/>
  <c r="F29" i="32" s="1"/>
  <c r="F30" i="32" s="1"/>
  <c r="F31" i="32" s="1"/>
  <c r="F32" i="32" s="1"/>
  <c r="F33" i="32" s="1"/>
  <c r="F34" i="32" s="1"/>
  <c r="F35" i="32" s="1"/>
  <c r="F36" i="32" s="1"/>
  <c r="F37" i="32" s="1"/>
  <c r="F38" i="32" s="1"/>
  <c r="F39" i="32" s="1"/>
  <c r="F40" i="32" s="1"/>
  <c r="E14" i="32"/>
  <c r="H11" i="39" l="1" a="1"/>
  <c r="F15" i="39"/>
  <c r="H11" i="37" a="1"/>
  <c r="F15" i="37"/>
  <c r="F15" i="36"/>
  <c r="H11" i="36" a="1"/>
  <c r="F15" i="35"/>
  <c r="H35" i="35"/>
  <c r="H27" i="35"/>
  <c r="H19" i="35"/>
  <c r="H11" i="35"/>
  <c r="I11" i="35" s="1"/>
  <c r="J11" i="35" s="1"/>
  <c r="H34" i="35"/>
  <c r="H26" i="35"/>
  <c r="H18" i="35"/>
  <c r="H32" i="35"/>
  <c r="H16" i="35"/>
  <c r="H39" i="35"/>
  <c r="H31" i="35"/>
  <c r="H23" i="35"/>
  <c r="H15" i="35"/>
  <c r="H36" i="35"/>
  <c r="H28" i="35"/>
  <c r="H20" i="35"/>
  <c r="H12" i="35"/>
  <c r="I12" i="35" s="1"/>
  <c r="H38" i="35"/>
  <c r="H30" i="35"/>
  <c r="H22" i="35"/>
  <c r="H14" i="35"/>
  <c r="I14" i="35" s="1"/>
  <c r="H37" i="35"/>
  <c r="H29" i="35"/>
  <c r="H21" i="35"/>
  <c r="H13" i="35"/>
  <c r="I13" i="35" s="1"/>
  <c r="H33" i="35"/>
  <c r="H25" i="35"/>
  <c r="H17" i="35"/>
  <c r="H40" i="35"/>
  <c r="H24" i="35"/>
  <c r="F15" i="34"/>
  <c r="H11" i="34" a="1"/>
  <c r="E15" i="32"/>
  <c r="G11" i="32" a="1"/>
  <c r="F16" i="39" l="1"/>
  <c r="H35" i="39"/>
  <c r="H27" i="39"/>
  <c r="H19" i="39"/>
  <c r="H11" i="39"/>
  <c r="I11" i="39" s="1"/>
  <c r="J11" i="39" s="1"/>
  <c r="H33" i="39"/>
  <c r="H25" i="39"/>
  <c r="H17" i="39"/>
  <c r="H32" i="39"/>
  <c r="H24" i="39"/>
  <c r="H29" i="39"/>
  <c r="H13" i="39"/>
  <c r="I13" i="39" s="1"/>
  <c r="H36" i="39"/>
  <c r="H28" i="39"/>
  <c r="H20" i="39"/>
  <c r="H12" i="39"/>
  <c r="I12" i="39" s="1"/>
  <c r="H34" i="39"/>
  <c r="H26" i="39"/>
  <c r="H18" i="39"/>
  <c r="H40" i="39"/>
  <c r="H16" i="39"/>
  <c r="H39" i="39"/>
  <c r="H31" i="39"/>
  <c r="H23" i="39"/>
  <c r="H15" i="39"/>
  <c r="I15" i="39" s="1"/>
  <c r="H38" i="39"/>
  <c r="H30" i="39"/>
  <c r="H22" i="39"/>
  <c r="H14" i="39"/>
  <c r="I14" i="39" s="1"/>
  <c r="H37" i="39"/>
  <c r="H21" i="39"/>
  <c r="F16" i="37"/>
  <c r="H35" i="37"/>
  <c r="H27" i="37"/>
  <c r="H19" i="37"/>
  <c r="H11" i="37"/>
  <c r="I11" i="37" s="1"/>
  <c r="J11" i="37" s="1"/>
  <c r="H33" i="37"/>
  <c r="H25" i="37"/>
  <c r="H17" i="37"/>
  <c r="H24" i="37"/>
  <c r="H16" i="37"/>
  <c r="H38" i="37"/>
  <c r="H30" i="37"/>
  <c r="H14" i="37"/>
  <c r="I14" i="37" s="1"/>
  <c r="H21" i="37"/>
  <c r="H36" i="37"/>
  <c r="H28" i="37"/>
  <c r="H20" i="37"/>
  <c r="H34" i="37"/>
  <c r="H26" i="37"/>
  <c r="H18" i="37"/>
  <c r="H40" i="37"/>
  <c r="H39" i="37"/>
  <c r="H31" i="37"/>
  <c r="H23" i="37"/>
  <c r="H15" i="37"/>
  <c r="I15" i="37" s="1"/>
  <c r="H32" i="37"/>
  <c r="H22" i="37"/>
  <c r="H37" i="37"/>
  <c r="H29" i="37"/>
  <c r="H13" i="37"/>
  <c r="I13" i="37" s="1"/>
  <c r="H12" i="37"/>
  <c r="I12" i="37" s="1"/>
  <c r="H35" i="36"/>
  <c r="H27" i="36"/>
  <c r="H19" i="36"/>
  <c r="H11" i="36"/>
  <c r="I11" i="36" s="1"/>
  <c r="J11" i="36" s="1"/>
  <c r="H34" i="36"/>
  <c r="H26" i="36"/>
  <c r="H39" i="36"/>
  <c r="H31" i="36"/>
  <c r="H23" i="36"/>
  <c r="H15" i="36"/>
  <c r="I15" i="36" s="1"/>
  <c r="H18" i="36"/>
  <c r="H33" i="36"/>
  <c r="H25" i="36"/>
  <c r="H17" i="36"/>
  <c r="H32" i="36"/>
  <c r="H24" i="36"/>
  <c r="H16" i="36"/>
  <c r="H21" i="36"/>
  <c r="H40" i="36"/>
  <c r="H38" i="36"/>
  <c r="H30" i="36"/>
  <c r="H22" i="36"/>
  <c r="H14" i="36"/>
  <c r="I14" i="36" s="1"/>
  <c r="H37" i="36"/>
  <c r="H29" i="36"/>
  <c r="H13" i="36"/>
  <c r="I13" i="36" s="1"/>
  <c r="H36" i="36"/>
  <c r="H28" i="36"/>
  <c r="H20" i="36"/>
  <c r="H12" i="36"/>
  <c r="I12" i="36" s="1"/>
  <c r="F16" i="36"/>
  <c r="J12" i="35"/>
  <c r="J13" i="35"/>
  <c r="J14" i="35" s="1"/>
  <c r="F16" i="35"/>
  <c r="I15" i="35"/>
  <c r="H35" i="34"/>
  <c r="H27" i="34"/>
  <c r="H19" i="34"/>
  <c r="H11" i="34"/>
  <c r="I11" i="34" s="1"/>
  <c r="J11" i="34" s="1"/>
  <c r="H34" i="34"/>
  <c r="H26" i="34"/>
  <c r="H18" i="34"/>
  <c r="H33" i="34"/>
  <c r="H25" i="34"/>
  <c r="H17" i="34"/>
  <c r="H32" i="34"/>
  <c r="H24" i="34"/>
  <c r="H16" i="34"/>
  <c r="H38" i="34"/>
  <c r="H30" i="34"/>
  <c r="H22" i="34"/>
  <c r="H14" i="34"/>
  <c r="I14" i="34" s="1"/>
  <c r="H40" i="34"/>
  <c r="H39" i="34"/>
  <c r="H31" i="34"/>
  <c r="H23" i="34"/>
  <c r="H15" i="34"/>
  <c r="I15" i="34" s="1"/>
  <c r="H37" i="34"/>
  <c r="H36" i="34"/>
  <c r="H28" i="34"/>
  <c r="H21" i="34"/>
  <c r="H29" i="34"/>
  <c r="H20" i="34"/>
  <c r="H13" i="34"/>
  <c r="I13" i="34" s="1"/>
  <c r="H12" i="34"/>
  <c r="I12" i="34" s="1"/>
  <c r="J12" i="34" s="1"/>
  <c r="F16" i="34"/>
  <c r="G35" i="32"/>
  <c r="G27" i="32"/>
  <c r="G19" i="32"/>
  <c r="G11" i="32"/>
  <c r="H11" i="32" s="1"/>
  <c r="I11" i="32" s="1"/>
  <c r="G34" i="32"/>
  <c r="G26" i="32"/>
  <c r="G18" i="32"/>
  <c r="G39" i="32"/>
  <c r="G31" i="32"/>
  <c r="G23" i="32"/>
  <c r="G15" i="32"/>
  <c r="G38" i="32"/>
  <c r="G30" i="32"/>
  <c r="G22" i="32"/>
  <c r="G14" i="32"/>
  <c r="H14" i="32" s="1"/>
  <c r="G37" i="32"/>
  <c r="G29" i="32"/>
  <c r="G21" i="32"/>
  <c r="G13" i="32"/>
  <c r="H13" i="32" s="1"/>
  <c r="G36" i="32"/>
  <c r="G28" i="32"/>
  <c r="G20" i="32"/>
  <c r="G12" i="32"/>
  <c r="H12" i="32" s="1"/>
  <c r="G33" i="32"/>
  <c r="G25" i="32"/>
  <c r="G17" i="32"/>
  <c r="G40" i="32"/>
  <c r="G32" i="32"/>
  <c r="G24" i="32"/>
  <c r="G16" i="32"/>
  <c r="H15" i="32"/>
  <c r="E16" i="32"/>
  <c r="J12" i="37" l="1"/>
  <c r="J13" i="37" s="1"/>
  <c r="J14" i="37" s="1"/>
  <c r="J15" i="37" s="1"/>
  <c r="I16" i="39"/>
  <c r="F17" i="39"/>
  <c r="J12" i="39"/>
  <c r="J13" i="39" s="1"/>
  <c r="J14" i="39" s="1"/>
  <c r="J15" i="39" s="1"/>
  <c r="F17" i="37"/>
  <c r="I16" i="37"/>
  <c r="I16" i="36"/>
  <c r="F17" i="36"/>
  <c r="J12" i="36"/>
  <c r="J13" i="36" s="1"/>
  <c r="J14" i="36" s="1"/>
  <c r="J15" i="36" s="1"/>
  <c r="J15" i="35"/>
  <c r="I16" i="35"/>
  <c r="J16" i="35" s="1"/>
  <c r="F17" i="35"/>
  <c r="J13" i="34"/>
  <c r="J14" i="34" s="1"/>
  <c r="J15" i="34" s="1"/>
  <c r="I16" i="34"/>
  <c r="F17" i="34"/>
  <c r="I12" i="32"/>
  <c r="H16" i="32"/>
  <c r="E17" i="32"/>
  <c r="I13" i="32"/>
  <c r="I14" i="32" s="1"/>
  <c r="I15" i="32" s="1"/>
  <c r="F18" i="39" l="1"/>
  <c r="I17" i="39"/>
  <c r="J16" i="39"/>
  <c r="F18" i="37"/>
  <c r="I17" i="37"/>
  <c r="J16" i="37"/>
  <c r="I17" i="36"/>
  <c r="F18" i="36"/>
  <c r="J16" i="36"/>
  <c r="I17" i="35"/>
  <c r="J17" i="35" s="1"/>
  <c r="F18" i="35"/>
  <c r="F18" i="34"/>
  <c r="I17" i="34"/>
  <c r="J16" i="34"/>
  <c r="E18" i="32"/>
  <c r="H17" i="32"/>
  <c r="I16" i="32"/>
  <c r="J17" i="37" l="1"/>
  <c r="J17" i="39"/>
  <c r="F19" i="39"/>
  <c r="I18" i="39"/>
  <c r="F19" i="37"/>
  <c r="I18" i="37"/>
  <c r="J17" i="36"/>
  <c r="F19" i="36"/>
  <c r="I18" i="36"/>
  <c r="F19" i="35"/>
  <c r="I18" i="35"/>
  <c r="J18" i="35" s="1"/>
  <c r="J17" i="34"/>
  <c r="F19" i="34"/>
  <c r="I18" i="34"/>
  <c r="J18" i="34" s="1"/>
  <c r="I17" i="32"/>
  <c r="E19" i="32"/>
  <c r="H18" i="32"/>
  <c r="J18" i="37" l="1"/>
  <c r="J18" i="36"/>
  <c r="J18" i="39"/>
  <c r="I19" i="39"/>
  <c r="J19" i="39" s="1"/>
  <c r="F20" i="39"/>
  <c r="I19" i="37"/>
  <c r="F20" i="37"/>
  <c r="F20" i="36"/>
  <c r="I19" i="36"/>
  <c r="J19" i="36" s="1"/>
  <c r="F20" i="35"/>
  <c r="I19" i="35"/>
  <c r="J19" i="35" s="1"/>
  <c r="I19" i="34"/>
  <c r="J19" i="34" s="1"/>
  <c r="F20" i="34"/>
  <c r="I18" i="32"/>
  <c r="H19" i="32"/>
  <c r="E20" i="32"/>
  <c r="J19" i="37" l="1"/>
  <c r="F21" i="39"/>
  <c r="I20" i="39"/>
  <c r="J20" i="39" s="1"/>
  <c r="I20" i="37"/>
  <c r="J20" i="37" s="1"/>
  <c r="F21" i="37"/>
  <c r="F21" i="36"/>
  <c r="I20" i="36"/>
  <c r="J20" i="36" s="1"/>
  <c r="I20" i="35"/>
  <c r="J20" i="35" s="1"/>
  <c r="F21" i="35"/>
  <c r="I20" i="34"/>
  <c r="J20" i="34" s="1"/>
  <c r="F21" i="34"/>
  <c r="I19" i="32"/>
  <c r="E21" i="32"/>
  <c r="H20" i="32"/>
  <c r="I21" i="39" l="1"/>
  <c r="J21" i="39" s="1"/>
  <c r="F22" i="39"/>
  <c r="I21" i="37"/>
  <c r="J21" i="37" s="1"/>
  <c r="F22" i="37"/>
  <c r="I21" i="36"/>
  <c r="J21" i="36" s="1"/>
  <c r="F22" i="36"/>
  <c r="I21" i="35"/>
  <c r="J21" i="35" s="1"/>
  <c r="F22" i="35"/>
  <c r="I21" i="34"/>
  <c r="J21" i="34" s="1"/>
  <c r="F22" i="34"/>
  <c r="I20" i="32"/>
  <c r="H21" i="32"/>
  <c r="E22" i="32"/>
  <c r="F23" i="39" l="1"/>
  <c r="I22" i="39"/>
  <c r="J22" i="39" s="1"/>
  <c r="I22" i="37"/>
  <c r="J22" i="37" s="1"/>
  <c r="F23" i="37"/>
  <c r="F23" i="36"/>
  <c r="I22" i="36"/>
  <c r="J22" i="36" s="1"/>
  <c r="I22" i="35"/>
  <c r="J22" i="35" s="1"/>
  <c r="F23" i="35"/>
  <c r="F23" i="34"/>
  <c r="I22" i="34"/>
  <c r="J22" i="34" s="1"/>
  <c r="I21" i="32"/>
  <c r="E23" i="32"/>
  <c r="H22" i="32"/>
  <c r="F24" i="39" l="1"/>
  <c r="I23" i="39"/>
  <c r="J23" i="39" s="1"/>
  <c r="F24" i="37"/>
  <c r="I23" i="37"/>
  <c r="J23" i="37" s="1"/>
  <c r="F24" i="36"/>
  <c r="I23" i="36"/>
  <c r="J23" i="36" s="1"/>
  <c r="F24" i="35"/>
  <c r="I23" i="35"/>
  <c r="J23" i="35" s="1"/>
  <c r="F24" i="34"/>
  <c r="I23" i="34"/>
  <c r="J23" i="34" s="1"/>
  <c r="I22" i="32"/>
  <c r="E24" i="32"/>
  <c r="H23" i="32"/>
  <c r="I24" i="39" l="1"/>
  <c r="J24" i="39" s="1"/>
  <c r="F25" i="39"/>
  <c r="I24" i="37"/>
  <c r="J24" i="37" s="1"/>
  <c r="F25" i="37"/>
  <c r="F25" i="36"/>
  <c r="I24" i="36"/>
  <c r="J24" i="36" s="1"/>
  <c r="F25" i="35"/>
  <c r="I24" i="35"/>
  <c r="J24" i="35" s="1"/>
  <c r="I24" i="34"/>
  <c r="J24" i="34" s="1"/>
  <c r="F25" i="34"/>
  <c r="I23" i="32"/>
  <c r="H24" i="32"/>
  <c r="E25" i="32"/>
  <c r="F26" i="39" l="1"/>
  <c r="I25" i="39"/>
  <c r="J25" i="39" s="1"/>
  <c r="F26" i="37"/>
  <c r="I25" i="37"/>
  <c r="J25" i="37" s="1"/>
  <c r="I25" i="36"/>
  <c r="J25" i="36" s="1"/>
  <c r="F26" i="36"/>
  <c r="I25" i="35"/>
  <c r="J25" i="35" s="1"/>
  <c r="F26" i="35"/>
  <c r="F26" i="34"/>
  <c r="I25" i="34"/>
  <c r="J25" i="34" s="1"/>
  <c r="I24" i="32"/>
  <c r="E26" i="32"/>
  <c r="H25" i="32"/>
  <c r="I26" i="39" l="1"/>
  <c r="J26" i="39" s="1"/>
  <c r="F27" i="39"/>
  <c r="I26" i="37"/>
  <c r="J26" i="37" s="1"/>
  <c r="F27" i="37"/>
  <c r="I26" i="36"/>
  <c r="J26" i="36" s="1"/>
  <c r="F27" i="36"/>
  <c r="I26" i="35"/>
  <c r="J26" i="35" s="1"/>
  <c r="F27" i="35"/>
  <c r="I26" i="34"/>
  <c r="J26" i="34" s="1"/>
  <c r="F27" i="34"/>
  <c r="I25" i="32"/>
  <c r="H26" i="32"/>
  <c r="E27" i="32"/>
  <c r="F28" i="39" l="1"/>
  <c r="I27" i="39"/>
  <c r="J27" i="39" s="1"/>
  <c r="F28" i="37"/>
  <c r="I27" i="37"/>
  <c r="J27" i="37" s="1"/>
  <c r="I27" i="36"/>
  <c r="J27" i="36" s="1"/>
  <c r="F28" i="36"/>
  <c r="I27" i="35"/>
  <c r="J27" i="35" s="1"/>
  <c r="F28" i="35"/>
  <c r="F28" i="34"/>
  <c r="I27" i="34"/>
  <c r="J27" i="34" s="1"/>
  <c r="I26" i="32"/>
  <c r="E28" i="32"/>
  <c r="H27" i="32"/>
  <c r="I28" i="39" l="1"/>
  <c r="J28" i="39" s="1"/>
  <c r="F29" i="39"/>
  <c r="I28" i="37"/>
  <c r="J28" i="37" s="1"/>
  <c r="F29" i="37"/>
  <c r="I28" i="36"/>
  <c r="J28" i="36" s="1"/>
  <c r="F29" i="36"/>
  <c r="I28" i="35"/>
  <c r="J28" i="35" s="1"/>
  <c r="F29" i="35"/>
  <c r="I28" i="34"/>
  <c r="J28" i="34" s="1"/>
  <c r="F29" i="34"/>
  <c r="I27" i="32"/>
  <c r="H28" i="32"/>
  <c r="I28" i="32" s="1"/>
  <c r="E29" i="32"/>
  <c r="F30" i="39" l="1"/>
  <c r="I29" i="39"/>
  <c r="J29" i="39" s="1"/>
  <c r="F30" i="37"/>
  <c r="I29" i="37"/>
  <c r="J29" i="37" s="1"/>
  <c r="I29" i="36"/>
  <c r="J29" i="36" s="1"/>
  <c r="F30" i="36"/>
  <c r="I29" i="35"/>
  <c r="J29" i="35" s="1"/>
  <c r="F30" i="35"/>
  <c r="F30" i="34"/>
  <c r="I29" i="34"/>
  <c r="J29" i="34" s="1"/>
  <c r="E30" i="32"/>
  <c r="H29" i="32"/>
  <c r="I29" i="32" s="1"/>
  <c r="I30" i="39" l="1"/>
  <c r="J30" i="39" s="1"/>
  <c r="F31" i="39"/>
  <c r="I30" i="37"/>
  <c r="J30" i="37" s="1"/>
  <c r="F31" i="37"/>
  <c r="I30" i="36"/>
  <c r="J30" i="36" s="1"/>
  <c r="F31" i="36"/>
  <c r="I30" i="35"/>
  <c r="J30" i="35" s="1"/>
  <c r="F31" i="35"/>
  <c r="I30" i="34"/>
  <c r="J30" i="34" s="1"/>
  <c r="F31" i="34"/>
  <c r="H30" i="32"/>
  <c r="I30" i="32" s="1"/>
  <c r="E31" i="32"/>
  <c r="F32" i="39" l="1"/>
  <c r="I31" i="39"/>
  <c r="J31" i="39" s="1"/>
  <c r="F32" i="37"/>
  <c r="I31" i="37"/>
  <c r="J31" i="37" s="1"/>
  <c r="I31" i="36"/>
  <c r="J31" i="36" s="1"/>
  <c r="F32" i="36"/>
  <c r="I31" i="35"/>
  <c r="J31" i="35" s="1"/>
  <c r="F32" i="35"/>
  <c r="F32" i="34"/>
  <c r="I31" i="34"/>
  <c r="J31" i="34" s="1"/>
  <c r="E32" i="32"/>
  <c r="H31" i="32"/>
  <c r="I31" i="32" s="1"/>
  <c r="I32" i="39" l="1"/>
  <c r="J32" i="39" s="1"/>
  <c r="F33" i="39"/>
  <c r="I32" i="37"/>
  <c r="J32" i="37" s="1"/>
  <c r="F33" i="37"/>
  <c r="I32" i="36"/>
  <c r="J32" i="36" s="1"/>
  <c r="F33" i="36"/>
  <c r="I32" i="35"/>
  <c r="J32" i="35" s="1"/>
  <c r="F33" i="35"/>
  <c r="I32" i="34"/>
  <c r="J32" i="34" s="1"/>
  <c r="F33" i="34"/>
  <c r="H32" i="32"/>
  <c r="I32" i="32" s="1"/>
  <c r="E33" i="32"/>
  <c r="F34" i="39" l="1"/>
  <c r="I33" i="39"/>
  <c r="J33" i="39" s="1"/>
  <c r="F34" i="37"/>
  <c r="I33" i="37"/>
  <c r="J33" i="37" s="1"/>
  <c r="I33" i="36"/>
  <c r="J33" i="36" s="1"/>
  <c r="F34" i="36"/>
  <c r="F34" i="35"/>
  <c r="I33" i="35"/>
  <c r="J33" i="35" s="1"/>
  <c r="F34" i="34"/>
  <c r="I33" i="34"/>
  <c r="J33" i="34" s="1"/>
  <c r="E34" i="32"/>
  <c r="H33" i="32"/>
  <c r="I33" i="32" s="1"/>
  <c r="I34" i="39" l="1"/>
  <c r="J34" i="39" s="1"/>
  <c r="F35" i="39"/>
  <c r="I34" i="37"/>
  <c r="J34" i="37" s="1"/>
  <c r="F35" i="37"/>
  <c r="I34" i="36"/>
  <c r="J34" i="36" s="1"/>
  <c r="F35" i="36"/>
  <c r="I34" i="35"/>
  <c r="J34" i="35" s="1"/>
  <c r="F35" i="35"/>
  <c r="I34" i="34"/>
  <c r="J34" i="34" s="1"/>
  <c r="F35" i="34"/>
  <c r="H34" i="32"/>
  <c r="I34" i="32" s="1"/>
  <c r="E35" i="32"/>
  <c r="F36" i="39" l="1"/>
  <c r="I35" i="39"/>
  <c r="J35" i="39" s="1"/>
  <c r="F36" i="37"/>
  <c r="I35" i="37"/>
  <c r="J35" i="37" s="1"/>
  <c r="I35" i="36"/>
  <c r="J35" i="36" s="1"/>
  <c r="F36" i="36"/>
  <c r="I35" i="35"/>
  <c r="J35" i="35" s="1"/>
  <c r="F36" i="35"/>
  <c r="F36" i="34"/>
  <c r="I35" i="34"/>
  <c r="J35" i="34" s="1"/>
  <c r="E36" i="32"/>
  <c r="H35" i="32"/>
  <c r="I35" i="32" s="1"/>
  <c r="I36" i="39" l="1"/>
  <c r="J36" i="39" s="1"/>
  <c r="F37" i="39"/>
  <c r="I36" i="37"/>
  <c r="J36" i="37" s="1"/>
  <c r="F37" i="37"/>
  <c r="I36" i="36"/>
  <c r="J36" i="36" s="1"/>
  <c r="F37" i="36"/>
  <c r="I36" i="35"/>
  <c r="J36" i="35" s="1"/>
  <c r="F37" i="35"/>
  <c r="I36" i="34"/>
  <c r="J36" i="34" s="1"/>
  <c r="F37" i="34"/>
  <c r="H36" i="32"/>
  <c r="I36" i="32" s="1"/>
  <c r="E37" i="32"/>
  <c r="F38" i="39" l="1"/>
  <c r="I37" i="39"/>
  <c r="J37" i="39" s="1"/>
  <c r="I37" i="37"/>
  <c r="J37" i="37" s="1"/>
  <c r="F38" i="37"/>
  <c r="I37" i="36"/>
  <c r="J37" i="36" s="1"/>
  <c r="F38" i="36"/>
  <c r="I37" i="35"/>
  <c r="J37" i="35" s="1"/>
  <c r="F38" i="35"/>
  <c r="F38" i="34"/>
  <c r="I37" i="34"/>
  <c r="J37" i="34" s="1"/>
  <c r="E38" i="32"/>
  <c r="H37" i="32"/>
  <c r="I37" i="32" s="1"/>
  <c r="I38" i="39" l="1"/>
  <c r="J38" i="39" s="1"/>
  <c r="F39" i="39"/>
  <c r="I38" i="37"/>
  <c r="J38" i="37" s="1"/>
  <c r="F39" i="37"/>
  <c r="I38" i="36"/>
  <c r="J38" i="36" s="1"/>
  <c r="F39" i="36"/>
  <c r="I38" i="35"/>
  <c r="J38" i="35" s="1"/>
  <c r="F39" i="35"/>
  <c r="I38" i="34"/>
  <c r="J38" i="34" s="1"/>
  <c r="F39" i="34"/>
  <c r="H38" i="32"/>
  <c r="I38" i="32" s="1"/>
  <c r="E39" i="32"/>
  <c r="F40" i="39" l="1"/>
  <c r="I40" i="39" s="1"/>
  <c r="J40" i="39" s="1"/>
  <c r="I39" i="39"/>
  <c r="J39" i="39" s="1"/>
  <c r="F40" i="37"/>
  <c r="I40" i="37" s="1"/>
  <c r="J40" i="37" s="1"/>
  <c r="I39" i="37"/>
  <c r="J39" i="37" s="1"/>
  <c r="I39" i="36"/>
  <c r="J39" i="36" s="1"/>
  <c r="F40" i="36"/>
  <c r="I40" i="36" s="1"/>
  <c r="J40" i="36" s="1"/>
  <c r="I39" i="35"/>
  <c r="J39" i="35" s="1"/>
  <c r="F40" i="35"/>
  <c r="I40" i="35" s="1"/>
  <c r="J40" i="35" s="1"/>
  <c r="F40" i="34"/>
  <c r="I40" i="34" s="1"/>
  <c r="J40" i="34" s="1"/>
  <c r="I39" i="34"/>
  <c r="J39" i="34" s="1"/>
  <c r="E40" i="32"/>
  <c r="H40" i="32" s="1"/>
  <c r="H39" i="32"/>
  <c r="I39" i="32" s="1"/>
  <c r="I40" i="32" l="1"/>
</calcChain>
</file>

<file path=xl/sharedStrings.xml><?xml version="1.0" encoding="utf-8"?>
<sst xmlns="http://schemas.openxmlformats.org/spreadsheetml/2006/main" count="416" uniqueCount="139">
  <si>
    <t>Min</t>
  </si>
  <si>
    <t>Max</t>
  </si>
  <si>
    <t>Q3</t>
  </si>
  <si>
    <t>IQR</t>
  </si>
  <si>
    <t>Q1</t>
  </si>
  <si>
    <t>Moyenne</t>
  </si>
  <si>
    <t>Coeff</t>
  </si>
  <si>
    <t>Médiane</t>
  </si>
  <si>
    <t>Classe</t>
  </si>
  <si>
    <t>Intervalle</t>
  </si>
  <si>
    <t>Nbre d'éléments</t>
  </si>
  <si>
    <t>Sturge</t>
  </si>
  <si>
    <t>Nbre classes</t>
  </si>
  <si>
    <t>Méthode</t>
  </si>
  <si>
    <t>Square-root</t>
  </si>
  <si>
    <t>Rice</t>
  </si>
  <si>
    <t>Doane</t>
  </si>
  <si>
    <t>Scott</t>
  </si>
  <si>
    <t>sig :</t>
  </si>
  <si>
    <t>skewness :</t>
  </si>
  <si>
    <t>IQR :</t>
  </si>
  <si>
    <t>Freedman</t>
  </si>
  <si>
    <t>Choix de méthode</t>
  </si>
  <si>
    <t>Étendue:</t>
  </si>
  <si>
    <t>Pas</t>
  </si>
  <si>
    <t>==&gt;</t>
  </si>
  <si>
    <t>Limite inf</t>
  </si>
  <si>
    <t>Limite sup</t>
  </si>
  <si>
    <t>Nbre points aberrants inf</t>
  </si>
  <si>
    <t>Nbre points aberrants sup</t>
  </si>
  <si>
    <t>Nbre de valeurs</t>
  </si>
  <si>
    <t>Points aberrants</t>
  </si>
  <si>
    <t>Mode</t>
  </si>
  <si>
    <t>Fréquence modale</t>
  </si>
  <si>
    <t>Autre</t>
  </si>
  <si>
    <t>Effectif</t>
  </si>
  <si>
    <t>Fréquance</t>
  </si>
  <si>
    <t>Cumul</t>
  </si>
  <si>
    <t>Nbre valeurs étudié</t>
  </si>
  <si>
    <t>Période</t>
  </si>
  <si>
    <t>OAT</t>
  </si>
  <si>
    <t>STD</t>
  </si>
  <si>
    <t>01/12/2014</t>
  </si>
  <si>
    <t>08/12/2014</t>
  </si>
  <si>
    <t>15/12/2014</t>
  </si>
  <si>
    <t>22/12/2014</t>
  </si>
  <si>
    <t>29/12/2014</t>
  </si>
  <si>
    <t>05/01/2015</t>
  </si>
  <si>
    <t>12/01/2015</t>
  </si>
  <si>
    <t>19/01/2015</t>
  </si>
  <si>
    <t>26/01/2015</t>
  </si>
  <si>
    <t>02/02/2015</t>
  </si>
  <si>
    <t>09/02/2015</t>
  </si>
  <si>
    <t>16/02/2015</t>
  </si>
  <si>
    <t>23/02/2015</t>
  </si>
  <si>
    <t>02/03/2015</t>
  </si>
  <si>
    <t>09/03/2015</t>
  </si>
  <si>
    <t>16/03/2015</t>
  </si>
  <si>
    <t>23/03/2015</t>
  </si>
  <si>
    <t>30/03/2015</t>
  </si>
  <si>
    <t>06/04/2015</t>
  </si>
  <si>
    <t>13/04/2015</t>
  </si>
  <si>
    <t>20/04/2015</t>
  </si>
  <si>
    <t>27/04/2015</t>
  </si>
  <si>
    <t>04/05/2015</t>
  </si>
  <si>
    <t>11/05/2015</t>
  </si>
  <si>
    <t>18/05/2015</t>
  </si>
  <si>
    <t>25/05/2015</t>
  </si>
  <si>
    <t>01/06/2015</t>
  </si>
  <si>
    <t>08/06/2015</t>
  </si>
  <si>
    <t>15/06/2015</t>
  </si>
  <si>
    <t>22/06/2015</t>
  </si>
  <si>
    <t>29/06/2015</t>
  </si>
  <si>
    <t>06/07/2015</t>
  </si>
  <si>
    <t>13/07/2015</t>
  </si>
  <si>
    <t>20/07/2015</t>
  </si>
  <si>
    <t>27/07/2015</t>
  </si>
  <si>
    <t>03/08/2015</t>
  </si>
  <si>
    <t>10/08/2015</t>
  </si>
  <si>
    <t>17/08/2015</t>
  </si>
  <si>
    <t>24/08/2015</t>
  </si>
  <si>
    <t>31/08/2015</t>
  </si>
  <si>
    <t>07/09/2015</t>
  </si>
  <si>
    <t>14/09/2015</t>
  </si>
  <si>
    <t>21/09/2015</t>
  </si>
  <si>
    <t>28/09/2015</t>
  </si>
  <si>
    <t>05/10/2015</t>
  </si>
  <si>
    <t>12/10/2015</t>
  </si>
  <si>
    <t>19/10/2015</t>
  </si>
  <si>
    <t>26/10/2015</t>
  </si>
  <si>
    <t>02/11/2015</t>
  </si>
  <si>
    <t>09/11/2015</t>
  </si>
  <si>
    <t>16/11/2015</t>
  </si>
  <si>
    <t>23/11/2015</t>
  </si>
  <si>
    <t>26/11/2015</t>
  </si>
  <si>
    <t>Taux de rentabilité OAT</t>
  </si>
  <si>
    <t>Average (%)</t>
  </si>
  <si>
    <t>Côte</t>
  </si>
  <si>
    <t>Taux de rentabilité TOTAL</t>
  </si>
  <si>
    <t>STD (%)</t>
  </si>
  <si>
    <t>Taux de rentabilité ACCENTURE</t>
  </si>
  <si>
    <t>Taux de rentabilité APPLE</t>
  </si>
  <si>
    <t>Taux de rentabilité CGI</t>
  </si>
  <si>
    <t>Taux de rentabilité DJIA Index</t>
  </si>
  <si>
    <t>Asset</t>
  </si>
  <si>
    <t>Market Index</t>
  </si>
  <si>
    <t>Risk</t>
  </si>
  <si>
    <t>TOTAL</t>
  </si>
  <si>
    <t>APPLE</t>
  </si>
  <si>
    <t>CGI</t>
  </si>
  <si>
    <t>Portfolio</t>
  </si>
  <si>
    <t>Weight</t>
  </si>
  <si>
    <t>ACCENTURE</t>
  </si>
  <si>
    <t>Expected return</t>
  </si>
  <si>
    <t>w1</t>
  </si>
  <si>
    <t>w2</t>
  </si>
  <si>
    <t>E(r12)</t>
  </si>
  <si>
    <t>σ(r12)</t>
  </si>
  <si>
    <t>r1</t>
  </si>
  <si>
    <t>r2</t>
  </si>
  <si>
    <t>Expected</t>
  </si>
  <si>
    <t>Cov</t>
  </si>
  <si>
    <t>Corr</t>
  </si>
  <si>
    <t>Div 1</t>
  </si>
  <si>
    <t>Div 2</t>
  </si>
  <si>
    <t>Asset 2</t>
  </si>
  <si>
    <t>Apple</t>
  </si>
  <si>
    <t>Microsoft</t>
  </si>
  <si>
    <t>Asset 1</t>
  </si>
  <si>
    <t>Asset 3</t>
  </si>
  <si>
    <t>Div 3</t>
  </si>
  <si>
    <t>r3</t>
  </si>
  <si>
    <t>Matrice de covariance</t>
  </si>
  <si>
    <t>w3</t>
  </si>
  <si>
    <t>E(r123)</t>
  </si>
  <si>
    <t>σ(r123)</t>
  </si>
  <si>
    <t>General Electric</t>
  </si>
  <si>
    <t>Matrice de corrélation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</si>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</sst>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5" formatCode="_ * #,##0.00_ ;_ * \-#,##0.00_ ;_ * &quot;-&quot;??_ ;_ @_ "/>
    <numFmt numFmtId="166" formatCode="_ [$€-2]\ * #,##0.00_ ;_ [$€-2]\ * \-#,##0.00_ ;_ [$€-2]\ * &quot;-&quot;??_ "/>
    <numFmt numFmtId="167" formatCode="0.0%"/>
    <numFmt numFmtId="175" formatCode="0.00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8"/>
      <name val="Times New Roman"/>
      <family val="1"/>
    </font>
    <font>
      <sz val="10"/>
      <name val="Tahoma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125">
        <b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6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4" fontId="10" fillId="0" borderId="0" applyFill="0" applyBorder="0" applyAlignment="0" applyProtection="0">
      <alignment horizontal="center"/>
    </xf>
    <xf numFmtId="166" fontId="5" fillId="0" borderId="0" applyFont="0" applyFill="0" applyBorder="0" applyAlignment="0" applyProtection="0"/>
    <xf numFmtId="0" fontId="5" fillId="4" borderId="1"/>
    <xf numFmtId="0" fontId="11" fillId="5" borderId="1" applyNumberFormat="0" applyFont="0" applyBorder="0" applyAlignment="0" applyProtection="0">
      <alignment horizontal="left"/>
      <protection locked="0"/>
    </xf>
    <xf numFmtId="0" fontId="3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7" fontId="0" fillId="0" borderId="0" xfId="1" applyNumberFormat="1" applyFont="1" applyBorder="1" applyAlignment="1">
      <alignment horizontal="center" vertical="center"/>
    </xf>
    <xf numFmtId="43" fontId="0" fillId="0" borderId="0" xfId="3" applyFont="1" applyAlignment="1">
      <alignment vertical="center"/>
    </xf>
    <xf numFmtId="43" fontId="0" fillId="0" borderId="0" xfId="3" applyNumberFormat="1" applyFont="1" applyAlignment="1">
      <alignment vertical="center"/>
    </xf>
    <xf numFmtId="0" fontId="0" fillId="0" borderId="1" xfId="0" applyBorder="1" applyAlignment="1">
      <alignment horizontal="right" vertical="center"/>
    </xf>
    <xf numFmtId="43" fontId="0" fillId="0" borderId="1" xfId="3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3" fontId="0" fillId="0" borderId="0" xfId="3" applyFont="1" applyBorder="1" applyAlignment="1">
      <alignment horizontal="center" vertical="center"/>
    </xf>
    <xf numFmtId="43" fontId="0" fillId="0" borderId="10" xfId="3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7" fontId="0" fillId="0" borderId="9" xfId="1" applyNumberFormat="1" applyFont="1" applyBorder="1" applyAlignment="1">
      <alignment horizontal="center" vertical="center"/>
    </xf>
    <xf numFmtId="167" fontId="0" fillId="0" borderId="10" xfId="1" applyNumberFormat="1" applyFont="1" applyBorder="1" applyAlignment="1">
      <alignment horizontal="center" vertical="center"/>
    </xf>
    <xf numFmtId="167" fontId="0" fillId="0" borderId="11" xfId="1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4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6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7" borderId="11" xfId="0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" fillId="6" borderId="0" xfId="2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6" borderId="0" xfId="2" applyFont="1" applyFill="1" applyAlignment="1">
      <alignment horizontal="center" vertical="center" wrapText="1"/>
    </xf>
    <xf numFmtId="9" fontId="0" fillId="0" borderId="0" xfId="1" applyNumberFormat="1" applyFont="1" applyBorder="1" applyAlignment="1">
      <alignment horizontal="center" vertical="center"/>
    </xf>
    <xf numFmtId="9" fontId="0" fillId="0" borderId="10" xfId="1" applyNumberFormat="1" applyFont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0" fillId="8" borderId="1" xfId="1" applyNumberFormat="1" applyFon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14" fontId="4" fillId="0" borderId="0" xfId="2" applyNumberFormat="1" applyFill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2" fontId="0" fillId="8" borderId="1" xfId="1" applyNumberFormat="1" applyFont="1" applyFill="1" applyBorder="1" applyAlignment="1">
      <alignment horizontal="center" vertical="center"/>
    </xf>
    <xf numFmtId="10" fontId="0" fillId="0" borderId="0" xfId="0" applyNumberFormat="1"/>
    <xf numFmtId="0" fontId="5" fillId="0" borderId="1" xfId="0" applyFont="1" applyBorder="1"/>
    <xf numFmtId="10" fontId="0" fillId="0" borderId="1" xfId="0" applyNumberFormat="1" applyBorder="1" applyAlignment="1">
      <alignment horizontal="center"/>
    </xf>
    <xf numFmtId="0" fontId="0" fillId="0" borderId="1" xfId="0" applyBorder="1"/>
    <xf numFmtId="10" fontId="0" fillId="0" borderId="1" xfId="1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Fill="1" applyBorder="1" applyAlignment="1">
      <alignment horizontal="left"/>
    </xf>
    <xf numFmtId="175" fontId="0" fillId="0" borderId="1" xfId="1" applyNumberFormat="1" applyFont="1" applyBorder="1"/>
    <xf numFmtId="175" fontId="0" fillId="0" borderId="0" xfId="1" applyNumberFormat="1" applyFont="1"/>
    <xf numFmtId="175" fontId="0" fillId="0" borderId="1" xfId="1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2">
    <cellStyle name="Comma" xfId="3" builtinId="3"/>
    <cellStyle name="Date" xfId="7"/>
    <cellStyle name="Euro" xfId="8"/>
    <cellStyle name="Milliers 2" xfId="6"/>
    <cellStyle name="monstyle" xfId="9"/>
    <cellStyle name="Normal" xfId="0" builtinId="0"/>
    <cellStyle name="Normal 2" xfId="2"/>
    <cellStyle name="Normal 3" xfId="4"/>
    <cellStyle name="Normal 4" xfId="11"/>
    <cellStyle name="Percent" xfId="1" builtinId="5"/>
    <cellStyle name="Pourcentage 2" xfId="5"/>
    <cellStyle name="StyleFormulaire" xfId="10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'DJIA Index'!$E$2</c:f>
          <c:strCache>
            <c:ptCount val="1"/>
            <c:pt idx="0">
              <c:v>Fréquence des Taux de rentabilité DJIA Index</c:v>
            </c:pt>
          </c:strCache>
        </c:strRef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0643099567301517E-2"/>
          <c:y val="0.11388003684997258"/>
          <c:w val="0.91608082147730618"/>
          <c:h val="0.8246995737326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'DJIA Index'!$C$2</c:f>
              <c:strCache>
                <c:ptCount val="1"/>
                <c:pt idx="0">
                  <c:v>Taux de rentabilité DJIA Index</c:v>
                </c:pt>
              </c:strCache>
            </c:strRef>
          </c:tx>
          <c:invertIfNegative val="0"/>
          <c:cat>
            <c:numRef>
              <c:f>'DJIA Index'!$G$11:$G$19</c:f>
              <c:numCache>
                <c:formatCode>0%</c:formatCode>
                <c:ptCount val="9"/>
                <c:pt idx="0">
                  <c:v>-5.4399623016227465E-2</c:v>
                </c:pt>
                <c:pt idx="1">
                  <c:v>-4.1074991020014766E-2</c:v>
                </c:pt>
                <c:pt idx="2">
                  <c:v>-2.7750359023802067E-2</c:v>
                </c:pt>
                <c:pt idx="3">
                  <c:v>-1.4425727027589368E-2</c:v>
                </c:pt>
                <c:pt idx="4">
                  <c:v>-1.1010950313766685E-3</c:v>
                </c:pt>
                <c:pt idx="5">
                  <c:v>1.2223536964836031E-2</c:v>
                </c:pt>
                <c:pt idx="6">
                  <c:v>2.554816896104873E-2</c:v>
                </c:pt>
                <c:pt idx="7">
                  <c:v>3.8872800957261429E-2</c:v>
                </c:pt>
                <c:pt idx="8">
                  <c:v>5.2197432953474128E-2</c:v>
                </c:pt>
              </c:numCache>
            </c:numRef>
          </c:cat>
          <c:val>
            <c:numRef>
              <c:f>'DJIA Index'!$I$11:$I$19</c:f>
              <c:numCache>
                <c:formatCode>0.0%</c:formatCode>
                <c:ptCount val="9"/>
                <c:pt idx="0">
                  <c:v>1.9607843137254902E-2</c:v>
                </c:pt>
                <c:pt idx="1">
                  <c:v>1.9607843137254902E-2</c:v>
                </c:pt>
                <c:pt idx="2">
                  <c:v>3.9215686274509803E-2</c:v>
                </c:pt>
                <c:pt idx="3">
                  <c:v>0.11764705882352941</c:v>
                </c:pt>
                <c:pt idx="4">
                  <c:v>0.23529411764705882</c:v>
                </c:pt>
                <c:pt idx="5">
                  <c:v>0.37254901960784315</c:v>
                </c:pt>
                <c:pt idx="6">
                  <c:v>9.8039215686274508E-2</c:v>
                </c:pt>
                <c:pt idx="7">
                  <c:v>9.8039215686274508E-2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64439408"/>
        <c:axId val="1264439968"/>
      </c:barChart>
      <c:scatterChart>
        <c:scatterStyle val="smoothMarker"/>
        <c:varyColors val="0"/>
        <c:ser>
          <c:idx val="1"/>
          <c:order val="1"/>
          <c:marker>
            <c:symbol val="none"/>
          </c:marker>
          <c:yVal>
            <c:numRef>
              <c:f>'DJIA Index'!$I$11:$I$19</c:f>
              <c:numCache>
                <c:formatCode>0.0%</c:formatCode>
                <c:ptCount val="9"/>
                <c:pt idx="0">
                  <c:v>1.9607843137254902E-2</c:v>
                </c:pt>
                <c:pt idx="1">
                  <c:v>1.9607843137254902E-2</c:v>
                </c:pt>
                <c:pt idx="2">
                  <c:v>3.9215686274509803E-2</c:v>
                </c:pt>
                <c:pt idx="3">
                  <c:v>0.11764705882352941</c:v>
                </c:pt>
                <c:pt idx="4">
                  <c:v>0.23529411764705882</c:v>
                </c:pt>
                <c:pt idx="5">
                  <c:v>0.37254901960784315</c:v>
                </c:pt>
                <c:pt idx="6">
                  <c:v>9.8039215686274508E-2</c:v>
                </c:pt>
                <c:pt idx="7">
                  <c:v>9.8039215686274508E-2</c:v>
                </c:pt>
                <c:pt idx="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439408"/>
        <c:axId val="1264439968"/>
      </c:scatterChart>
      <c:catAx>
        <c:axId val="126443940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crossAx val="1264439968"/>
        <c:crosses val="autoZero"/>
        <c:auto val="1"/>
        <c:lblAlgn val="ctr"/>
        <c:lblOffset val="100"/>
        <c:noMultiLvlLbl val="0"/>
      </c:catAx>
      <c:valAx>
        <c:axId val="126443996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26443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'DJIA Index'!$B$2</c:f>
              <c:strCache>
                <c:ptCount val="1"/>
                <c:pt idx="0">
                  <c:v>Côte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'DJIA Index'!$A$3:$A$54</c:f>
              <c:numCache>
                <c:formatCode>m/d/yyyy</c:formatCode>
                <c:ptCount val="52"/>
                <c:pt idx="0">
                  <c:v>41974</c:v>
                </c:pt>
                <c:pt idx="1">
                  <c:v>41981</c:v>
                </c:pt>
                <c:pt idx="2">
                  <c:v>41988</c:v>
                </c:pt>
                <c:pt idx="3">
                  <c:v>41995</c:v>
                </c:pt>
                <c:pt idx="4">
                  <c:v>42002</c:v>
                </c:pt>
                <c:pt idx="5">
                  <c:v>42009</c:v>
                </c:pt>
                <c:pt idx="6">
                  <c:v>42016</c:v>
                </c:pt>
                <c:pt idx="7">
                  <c:v>42024</c:v>
                </c:pt>
                <c:pt idx="8">
                  <c:v>42030</c:v>
                </c:pt>
                <c:pt idx="9">
                  <c:v>42037</c:v>
                </c:pt>
                <c:pt idx="10">
                  <c:v>42044</c:v>
                </c:pt>
                <c:pt idx="11">
                  <c:v>42052</c:v>
                </c:pt>
                <c:pt idx="12">
                  <c:v>42058</c:v>
                </c:pt>
                <c:pt idx="13">
                  <c:v>42065</c:v>
                </c:pt>
                <c:pt idx="14">
                  <c:v>42072</c:v>
                </c:pt>
                <c:pt idx="15">
                  <c:v>42079</c:v>
                </c:pt>
                <c:pt idx="16">
                  <c:v>42086</c:v>
                </c:pt>
                <c:pt idx="17">
                  <c:v>42093</c:v>
                </c:pt>
                <c:pt idx="18">
                  <c:v>42100</c:v>
                </c:pt>
                <c:pt idx="19">
                  <c:v>42107</c:v>
                </c:pt>
                <c:pt idx="20">
                  <c:v>42114</c:v>
                </c:pt>
                <c:pt idx="21">
                  <c:v>42121</c:v>
                </c:pt>
                <c:pt idx="22">
                  <c:v>42128</c:v>
                </c:pt>
                <c:pt idx="23">
                  <c:v>42135</c:v>
                </c:pt>
                <c:pt idx="24">
                  <c:v>42142</c:v>
                </c:pt>
                <c:pt idx="25">
                  <c:v>42150</c:v>
                </c:pt>
                <c:pt idx="26">
                  <c:v>42156</c:v>
                </c:pt>
                <c:pt idx="27">
                  <c:v>42163</c:v>
                </c:pt>
                <c:pt idx="28">
                  <c:v>42170</c:v>
                </c:pt>
                <c:pt idx="29">
                  <c:v>42177</c:v>
                </c:pt>
                <c:pt idx="30">
                  <c:v>42184</c:v>
                </c:pt>
                <c:pt idx="31">
                  <c:v>42191</c:v>
                </c:pt>
                <c:pt idx="32">
                  <c:v>42198</c:v>
                </c:pt>
                <c:pt idx="33">
                  <c:v>42205</c:v>
                </c:pt>
                <c:pt idx="34">
                  <c:v>42212</c:v>
                </c:pt>
                <c:pt idx="35">
                  <c:v>42219</c:v>
                </c:pt>
                <c:pt idx="36">
                  <c:v>42226</c:v>
                </c:pt>
                <c:pt idx="37">
                  <c:v>42233</c:v>
                </c:pt>
                <c:pt idx="38">
                  <c:v>42240</c:v>
                </c:pt>
                <c:pt idx="39">
                  <c:v>42247</c:v>
                </c:pt>
                <c:pt idx="40">
                  <c:v>42255</c:v>
                </c:pt>
                <c:pt idx="41">
                  <c:v>42261</c:v>
                </c:pt>
                <c:pt idx="42">
                  <c:v>42268</c:v>
                </c:pt>
                <c:pt idx="43">
                  <c:v>42275</c:v>
                </c:pt>
                <c:pt idx="44">
                  <c:v>42282</c:v>
                </c:pt>
                <c:pt idx="45">
                  <c:v>42289</c:v>
                </c:pt>
                <c:pt idx="46">
                  <c:v>42296</c:v>
                </c:pt>
                <c:pt idx="47">
                  <c:v>42303</c:v>
                </c:pt>
                <c:pt idx="48">
                  <c:v>42310</c:v>
                </c:pt>
                <c:pt idx="49">
                  <c:v>42317</c:v>
                </c:pt>
                <c:pt idx="50">
                  <c:v>42324</c:v>
                </c:pt>
                <c:pt idx="51">
                  <c:v>42331</c:v>
                </c:pt>
              </c:numCache>
            </c:numRef>
          </c:xVal>
          <c:yVal>
            <c:numRef>
              <c:f>'DJIA Index'!$B$3:$B$54</c:f>
              <c:numCache>
                <c:formatCode>0.00</c:formatCode>
                <c:ptCount val="52"/>
                <c:pt idx="0">
                  <c:v>10970.259765999999</c:v>
                </c:pt>
                <c:pt idx="1">
                  <c:v>10500.509765999999</c:v>
                </c:pt>
                <c:pt idx="2">
                  <c:v>10890.240234000001</c:v>
                </c:pt>
                <c:pt idx="3">
                  <c:v>10985.400390999999</c:v>
                </c:pt>
                <c:pt idx="4">
                  <c:v>10830.919921999999</c:v>
                </c:pt>
                <c:pt idx="5">
                  <c:v>10711.410156</c:v>
                </c:pt>
                <c:pt idx="6">
                  <c:v>10660.320312</c:v>
                </c:pt>
                <c:pt idx="7">
                  <c:v>10788.330078000001</c:v>
                </c:pt>
                <c:pt idx="8">
                  <c:v>10537.219727</c:v>
                </c:pt>
                <c:pt idx="9">
                  <c:v>10847.509765999999</c:v>
                </c:pt>
                <c:pt idx="10">
                  <c:v>11042.690430000001</c:v>
                </c:pt>
                <c:pt idx="11">
                  <c:v>11108.669921999999</c:v>
                </c:pt>
                <c:pt idx="12">
                  <c:v>11062.790039</c:v>
                </c:pt>
                <c:pt idx="13">
                  <c:v>10842.169921999999</c:v>
                </c:pt>
                <c:pt idx="14">
                  <c:v>10751.019531</c:v>
                </c:pt>
                <c:pt idx="15">
                  <c:v>11070.530273</c:v>
                </c:pt>
                <c:pt idx="16">
                  <c:v>10875.139648</c:v>
                </c:pt>
                <c:pt idx="17">
                  <c:v>10953.160156</c:v>
                </c:pt>
                <c:pt idx="18">
                  <c:v>11112.679688</c:v>
                </c:pt>
                <c:pt idx="19">
                  <c:v>11058.450194999999</c:v>
                </c:pt>
                <c:pt idx="20">
                  <c:v>11192.929688</c:v>
                </c:pt>
                <c:pt idx="21">
                  <c:v>11140.360352</c:v>
                </c:pt>
                <c:pt idx="22">
                  <c:v>11196.5</c:v>
                </c:pt>
                <c:pt idx="23">
                  <c:v>11228.349609000001</c:v>
                </c:pt>
                <c:pt idx="24">
                  <c:v>11197.690430000001</c:v>
                </c:pt>
                <c:pt idx="25">
                  <c:v>11056.299805000001</c:v>
                </c:pt>
                <c:pt idx="26">
                  <c:v>10979.330078000001</c:v>
                </c:pt>
                <c:pt idx="27">
                  <c:v>11009.910156</c:v>
                </c:pt>
                <c:pt idx="28">
                  <c:v>11038.959961</c:v>
                </c:pt>
                <c:pt idx="29">
                  <c:v>11040.309569999999</c:v>
                </c:pt>
                <c:pt idx="30">
                  <c:v>10864.820312</c:v>
                </c:pt>
                <c:pt idx="31">
                  <c:v>10853.919921999999</c:v>
                </c:pt>
                <c:pt idx="32">
                  <c:v>10987.169921999999</c:v>
                </c:pt>
                <c:pt idx="33">
                  <c:v>10721.950194999999</c:v>
                </c:pt>
                <c:pt idx="34">
                  <c:v>10882.280273</c:v>
                </c:pt>
                <c:pt idx="35">
                  <c:v>10763.150390999999</c:v>
                </c:pt>
                <c:pt idx="36">
                  <c:v>10782.240234000001</c:v>
                </c:pt>
                <c:pt idx="37">
                  <c:v>10195.690430000001</c:v>
                </c:pt>
                <c:pt idx="38">
                  <c:v>10242.059569999999</c:v>
                </c:pt>
                <c:pt idx="39">
                  <c:v>9871.8603519999997</c:v>
                </c:pt>
                <c:pt idx="40">
                  <c:v>10040.219727</c:v>
                </c:pt>
                <c:pt idx="41">
                  <c:v>10031.599609000001</c:v>
                </c:pt>
                <c:pt idx="42">
                  <c:v>9857.2597659999992</c:v>
                </c:pt>
                <c:pt idx="43">
                  <c:v>9973.5595699999994</c:v>
                </c:pt>
                <c:pt idx="44">
                  <c:v>10361.259765999999</c:v>
                </c:pt>
                <c:pt idx="45">
                  <c:v>10421.910156</c:v>
                </c:pt>
                <c:pt idx="46">
                  <c:v>10506.509765999999</c:v>
                </c:pt>
                <c:pt idx="47">
                  <c:v>10460.959961</c:v>
                </c:pt>
                <c:pt idx="48">
                  <c:v>10513.360352</c:v>
                </c:pt>
                <c:pt idx="49">
                  <c:v>10155.070312</c:v>
                </c:pt>
                <c:pt idx="50">
                  <c:v>10444.200194999999</c:v>
                </c:pt>
                <c:pt idx="51">
                  <c:v>10450.530273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443328"/>
        <c:axId val="1264443888"/>
      </c:scatterChart>
      <c:valAx>
        <c:axId val="126444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C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11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4443888"/>
        <c:crosses val="autoZero"/>
        <c:crossBetween val="midCat"/>
        <c:majorUnit val="30"/>
      </c:valAx>
      <c:valAx>
        <c:axId val="126444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4443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OAT!$D$2</c:f>
          <c:strCache>
            <c:ptCount val="1"/>
            <c:pt idx="0">
              <c:v>Fréquence des Taux de rentabilité OAT</c:v>
            </c:pt>
          </c:strCache>
        </c:strRef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0643099567301517E-2"/>
          <c:y val="0.11388003684997258"/>
          <c:w val="0.91608082147730618"/>
          <c:h val="0.8246995737326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OAT!$B$2</c:f>
              <c:strCache>
                <c:ptCount val="1"/>
                <c:pt idx="0">
                  <c:v>Taux de rentabilité OAT</c:v>
                </c:pt>
              </c:strCache>
            </c:strRef>
          </c:tx>
          <c:invertIfNegative val="0"/>
          <c:cat>
            <c:strRef>
              <c:f>OAT!$F$11:$F$28</c:f>
              <c:strCache>
                <c:ptCount val="18"/>
                <c:pt idx="0">
                  <c:v> 0,37   </c:v>
                </c:pt>
                <c:pt idx="1">
                  <c:v> 0,50   </c:v>
                </c:pt>
                <c:pt idx="2">
                  <c:v> 0,62   </c:v>
                </c:pt>
                <c:pt idx="3">
                  <c:v> 0,75   </c:v>
                </c:pt>
                <c:pt idx="4">
                  <c:v> 0,87   </c:v>
                </c:pt>
                <c:pt idx="5">
                  <c:v> 1,00   </c:v>
                </c:pt>
                <c:pt idx="6">
                  <c:v> 1,12   </c:v>
                </c:pt>
                <c:pt idx="7">
                  <c:v> 1,25   </c:v>
                </c:pt>
                <c:pt idx="8">
                  <c:v> 1,37   </c:v>
                </c:pt>
                <c:pt idx="9">
                  <c:v>  </c:v>
                </c:pt>
                <c:pt idx="10">
                  <c:v>  </c:v>
                </c:pt>
                <c:pt idx="11">
                  <c:v>  </c:v>
                </c:pt>
                <c:pt idx="12">
                  <c:v>  </c:v>
                </c:pt>
                <c:pt idx="13">
                  <c:v>  </c:v>
                </c:pt>
                <c:pt idx="14">
                  <c:v>  </c:v>
                </c:pt>
                <c:pt idx="15">
                  <c:v>  </c:v>
                </c:pt>
                <c:pt idx="16">
                  <c:v>  </c:v>
                </c:pt>
                <c:pt idx="17">
                  <c:v>  </c:v>
                </c:pt>
              </c:strCache>
            </c:strRef>
          </c:cat>
          <c:val>
            <c:numRef>
              <c:f>OAT!$H$11:$H$28</c:f>
              <c:numCache>
                <c:formatCode>0.0%</c:formatCode>
                <c:ptCount val="18"/>
                <c:pt idx="0">
                  <c:v>1.8867924528301886E-2</c:v>
                </c:pt>
                <c:pt idx="1">
                  <c:v>5.6603773584905662E-2</c:v>
                </c:pt>
                <c:pt idx="2">
                  <c:v>0.15094339622641509</c:v>
                </c:pt>
                <c:pt idx="3">
                  <c:v>7.5471698113207544E-2</c:v>
                </c:pt>
                <c:pt idx="4">
                  <c:v>0.18867924528301888</c:v>
                </c:pt>
                <c:pt idx="5">
                  <c:v>0.22641509433962265</c:v>
                </c:pt>
                <c:pt idx="6">
                  <c:v>0.15094339622641509</c:v>
                </c:pt>
                <c:pt idx="7">
                  <c:v>0.13207547169811321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98848352"/>
        <c:axId val="1098848912"/>
      </c:barChart>
      <c:scatterChart>
        <c:scatterStyle val="smoothMarker"/>
        <c:varyColors val="0"/>
        <c:ser>
          <c:idx val="1"/>
          <c:order val="1"/>
          <c:tx>
            <c:v>courbe</c:v>
          </c:tx>
          <c:marker>
            <c:symbol val="none"/>
          </c:marker>
          <c:yVal>
            <c:numRef>
              <c:f>OAT!$H$11:$H$28</c:f>
              <c:numCache>
                <c:formatCode>0.0%</c:formatCode>
                <c:ptCount val="18"/>
                <c:pt idx="0">
                  <c:v>1.8867924528301886E-2</c:v>
                </c:pt>
                <c:pt idx="1">
                  <c:v>5.6603773584905662E-2</c:v>
                </c:pt>
                <c:pt idx="2">
                  <c:v>0.15094339622641509</c:v>
                </c:pt>
                <c:pt idx="3">
                  <c:v>7.5471698113207544E-2</c:v>
                </c:pt>
                <c:pt idx="4">
                  <c:v>0.18867924528301888</c:v>
                </c:pt>
                <c:pt idx="5">
                  <c:v>0.22641509433962265</c:v>
                </c:pt>
                <c:pt idx="6">
                  <c:v>0.15094339622641509</c:v>
                </c:pt>
                <c:pt idx="7">
                  <c:v>0.13207547169811321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848352"/>
        <c:axId val="1098848912"/>
      </c:scatterChart>
      <c:catAx>
        <c:axId val="1098848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crossAx val="1098848912"/>
        <c:crosses val="autoZero"/>
        <c:auto val="1"/>
        <c:lblAlgn val="ctr"/>
        <c:lblOffset val="100"/>
        <c:noMultiLvlLbl val="0"/>
      </c:catAx>
      <c:valAx>
        <c:axId val="10988489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9884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OAT!$B$2</c:f>
              <c:strCache>
                <c:ptCount val="1"/>
                <c:pt idx="0">
                  <c:v>Taux de rentabilité OAT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OAT!$A$3:$A$55</c:f>
              <c:strCache>
                <c:ptCount val="53"/>
                <c:pt idx="0">
                  <c:v>01/12/2014</c:v>
                </c:pt>
                <c:pt idx="1">
                  <c:v>08/12/2014</c:v>
                </c:pt>
                <c:pt idx="2">
                  <c:v>15/12/2014</c:v>
                </c:pt>
                <c:pt idx="3">
                  <c:v>22/12/2014</c:v>
                </c:pt>
                <c:pt idx="4">
                  <c:v>29/12/2014</c:v>
                </c:pt>
                <c:pt idx="5">
                  <c:v>05/01/2015</c:v>
                </c:pt>
                <c:pt idx="6">
                  <c:v>12/01/2015</c:v>
                </c:pt>
                <c:pt idx="7">
                  <c:v>19/01/2015</c:v>
                </c:pt>
                <c:pt idx="8">
                  <c:v>26/01/2015</c:v>
                </c:pt>
                <c:pt idx="9">
                  <c:v>02/02/2015</c:v>
                </c:pt>
                <c:pt idx="10">
                  <c:v>09/02/2015</c:v>
                </c:pt>
                <c:pt idx="11">
                  <c:v>16/02/2015</c:v>
                </c:pt>
                <c:pt idx="12">
                  <c:v>23/02/2015</c:v>
                </c:pt>
                <c:pt idx="13">
                  <c:v>02/03/2015</c:v>
                </c:pt>
                <c:pt idx="14">
                  <c:v>09/03/2015</c:v>
                </c:pt>
                <c:pt idx="15">
                  <c:v>16/03/2015</c:v>
                </c:pt>
                <c:pt idx="16">
                  <c:v>23/03/2015</c:v>
                </c:pt>
                <c:pt idx="17">
                  <c:v>30/03/2015</c:v>
                </c:pt>
                <c:pt idx="18">
                  <c:v>06/04/2015</c:v>
                </c:pt>
                <c:pt idx="19">
                  <c:v>13/04/2015</c:v>
                </c:pt>
                <c:pt idx="20">
                  <c:v>20/04/2015</c:v>
                </c:pt>
                <c:pt idx="21">
                  <c:v>27/04/2015</c:v>
                </c:pt>
                <c:pt idx="22">
                  <c:v>04/05/2015</c:v>
                </c:pt>
                <c:pt idx="23">
                  <c:v>11/05/2015</c:v>
                </c:pt>
                <c:pt idx="24">
                  <c:v>18/05/2015</c:v>
                </c:pt>
                <c:pt idx="25">
                  <c:v>25/05/2015</c:v>
                </c:pt>
                <c:pt idx="26">
                  <c:v>01/06/2015</c:v>
                </c:pt>
                <c:pt idx="27">
                  <c:v>08/06/2015</c:v>
                </c:pt>
                <c:pt idx="28">
                  <c:v>15/06/2015</c:v>
                </c:pt>
                <c:pt idx="29">
                  <c:v>22/06/2015</c:v>
                </c:pt>
                <c:pt idx="30">
                  <c:v>29/06/2015</c:v>
                </c:pt>
                <c:pt idx="31">
                  <c:v>06/07/2015</c:v>
                </c:pt>
                <c:pt idx="32">
                  <c:v>13/07/2015</c:v>
                </c:pt>
                <c:pt idx="33">
                  <c:v>20/07/2015</c:v>
                </c:pt>
                <c:pt idx="34">
                  <c:v>27/07/2015</c:v>
                </c:pt>
                <c:pt idx="35">
                  <c:v>03/08/2015</c:v>
                </c:pt>
                <c:pt idx="36">
                  <c:v>10/08/2015</c:v>
                </c:pt>
                <c:pt idx="37">
                  <c:v>17/08/2015</c:v>
                </c:pt>
                <c:pt idx="38">
                  <c:v>24/08/2015</c:v>
                </c:pt>
                <c:pt idx="39">
                  <c:v>31/08/2015</c:v>
                </c:pt>
                <c:pt idx="40">
                  <c:v>07/09/2015</c:v>
                </c:pt>
                <c:pt idx="41">
                  <c:v>14/09/2015</c:v>
                </c:pt>
                <c:pt idx="42">
                  <c:v>21/09/2015</c:v>
                </c:pt>
                <c:pt idx="43">
                  <c:v>28/09/2015</c:v>
                </c:pt>
                <c:pt idx="44">
                  <c:v>05/10/2015</c:v>
                </c:pt>
                <c:pt idx="45">
                  <c:v>12/10/2015</c:v>
                </c:pt>
                <c:pt idx="46">
                  <c:v>19/10/2015</c:v>
                </c:pt>
                <c:pt idx="47">
                  <c:v>26/10/2015</c:v>
                </c:pt>
                <c:pt idx="48">
                  <c:v>02/11/2015</c:v>
                </c:pt>
                <c:pt idx="49">
                  <c:v>09/11/2015</c:v>
                </c:pt>
                <c:pt idx="50">
                  <c:v>16/11/2015</c:v>
                </c:pt>
                <c:pt idx="51">
                  <c:v>23/11/2015</c:v>
                </c:pt>
                <c:pt idx="52">
                  <c:v>26/11/2015</c:v>
                </c:pt>
              </c:strCache>
            </c:strRef>
          </c:xVal>
          <c:yVal>
            <c:numRef>
              <c:f>OAT!$B$3:$B$55</c:f>
              <c:numCache>
                <c:formatCode>0.00</c:formatCode>
                <c:ptCount val="53"/>
                <c:pt idx="0">
                  <c:v>1.0190000000000001</c:v>
                </c:pt>
                <c:pt idx="1">
                  <c:v>1.0174000000000001</c:v>
                </c:pt>
                <c:pt idx="2">
                  <c:v>0.93580000000000008</c:v>
                </c:pt>
                <c:pt idx="3">
                  <c:v>0.88200000000000001</c:v>
                </c:pt>
                <c:pt idx="4">
                  <c:v>0.85697944660000014</c:v>
                </c:pt>
                <c:pt idx="5">
                  <c:v>0.81697944659999988</c:v>
                </c:pt>
                <c:pt idx="6">
                  <c:v>0.77180000000000004</c:v>
                </c:pt>
                <c:pt idx="7">
                  <c:v>0.66700000000000004</c:v>
                </c:pt>
                <c:pt idx="8">
                  <c:v>0.61919999999999997</c:v>
                </c:pt>
                <c:pt idx="9">
                  <c:v>0.56920000000000004</c:v>
                </c:pt>
                <c:pt idx="10">
                  <c:v>0.5978</c:v>
                </c:pt>
                <c:pt idx="11">
                  <c:v>0.61380000000000001</c:v>
                </c:pt>
                <c:pt idx="12">
                  <c:v>0.62739999999999996</c:v>
                </c:pt>
                <c:pt idx="13">
                  <c:v>0.55280000000000007</c:v>
                </c:pt>
                <c:pt idx="14">
                  <c:v>0.59860000000000002</c:v>
                </c:pt>
                <c:pt idx="15">
                  <c:v>0.5265794466</c:v>
                </c:pt>
                <c:pt idx="16">
                  <c:v>0.46699999999999997</c:v>
                </c:pt>
                <c:pt idx="17">
                  <c:v>0.50639999999999996</c:v>
                </c:pt>
                <c:pt idx="18">
                  <c:v>0.62295889319999986</c:v>
                </c:pt>
                <c:pt idx="19">
                  <c:v>0.44919999999999999</c:v>
                </c:pt>
                <c:pt idx="20">
                  <c:v>0.37079999999999996</c:v>
                </c:pt>
                <c:pt idx="21">
                  <c:v>0.40899999999999997</c:v>
                </c:pt>
                <c:pt idx="22">
                  <c:v>0.63977944659999997</c:v>
                </c:pt>
                <c:pt idx="23">
                  <c:v>0.87240000000000006</c:v>
                </c:pt>
                <c:pt idx="24">
                  <c:v>0.96020000000000005</c:v>
                </c:pt>
                <c:pt idx="25">
                  <c:v>0.90500000000000003</c:v>
                </c:pt>
                <c:pt idx="26">
                  <c:v>0.84079999999999999</c:v>
                </c:pt>
                <c:pt idx="27">
                  <c:v>1.1393999999999997</c:v>
                </c:pt>
                <c:pt idx="28">
                  <c:v>1.1811794465999998</c:v>
                </c:pt>
                <c:pt idx="29">
                  <c:v>1.2174</c:v>
                </c:pt>
                <c:pt idx="30">
                  <c:v>1.2440000000000002</c:v>
                </c:pt>
                <c:pt idx="31">
                  <c:v>1.2487999999999999</c:v>
                </c:pt>
                <c:pt idx="32">
                  <c:v>1.1902000000000001</c:v>
                </c:pt>
                <c:pt idx="33">
                  <c:v>1.1244000000000001</c:v>
                </c:pt>
                <c:pt idx="34">
                  <c:v>1.0255999999999998</c:v>
                </c:pt>
                <c:pt idx="35">
                  <c:v>0.96120000000000005</c:v>
                </c:pt>
                <c:pt idx="36">
                  <c:v>1</c:v>
                </c:pt>
                <c:pt idx="37">
                  <c:v>0.89915889319999986</c:v>
                </c:pt>
                <c:pt idx="38">
                  <c:v>0.96239999999999992</c:v>
                </c:pt>
                <c:pt idx="39">
                  <c:v>1.1088</c:v>
                </c:pt>
                <c:pt idx="40">
                  <c:v>1.087</c:v>
                </c:pt>
                <c:pt idx="41">
                  <c:v>1.0091999999999999</c:v>
                </c:pt>
                <c:pt idx="42">
                  <c:v>1.0401999999999998</c:v>
                </c:pt>
                <c:pt idx="43">
                  <c:v>0.92020000000000013</c:v>
                </c:pt>
                <c:pt idx="44">
                  <c:v>0.86939999999999995</c:v>
                </c:pt>
                <c:pt idx="45">
                  <c:v>0.8879999999999999</c:v>
                </c:pt>
                <c:pt idx="46">
                  <c:v>0.84860000000000002</c:v>
                </c:pt>
                <c:pt idx="47">
                  <c:v>0.89900000000000002</c:v>
                </c:pt>
                <c:pt idx="48">
                  <c:v>0.85160000000000002</c:v>
                </c:pt>
                <c:pt idx="49">
                  <c:v>0.97340000000000004</c:v>
                </c:pt>
                <c:pt idx="50">
                  <c:v>0.90999999999999992</c:v>
                </c:pt>
                <c:pt idx="51">
                  <c:v>0.8375999999999999</c:v>
                </c:pt>
                <c:pt idx="52">
                  <c:v>0.82400000000000007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101856"/>
        <c:axId val="1138102416"/>
      </c:scatterChart>
      <c:valAx>
        <c:axId val="113810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C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11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8102416"/>
        <c:crosses val="autoZero"/>
        <c:crossBetween val="midCat"/>
        <c:majorUnit val="30"/>
      </c:valAx>
      <c:valAx>
        <c:axId val="113810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8101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TOTAL!$E$2</c:f>
          <c:strCache>
            <c:ptCount val="1"/>
            <c:pt idx="0">
              <c:v>Fréquence des Taux de rentabilité TOTAL</c:v>
            </c:pt>
          </c:strCache>
        </c:strRef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0643099567301517E-2"/>
          <c:y val="0.11388003684997258"/>
          <c:w val="0.91608082147730618"/>
          <c:h val="0.8246995737326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TOTAL!$C$2</c:f>
              <c:strCache>
                <c:ptCount val="1"/>
                <c:pt idx="0">
                  <c:v>Taux de rentabilité TOTAL</c:v>
                </c:pt>
              </c:strCache>
            </c:strRef>
          </c:tx>
          <c:invertIfNegative val="0"/>
          <c:cat>
            <c:numRef>
              <c:f>TOTAL!$G$11:$G$19</c:f>
              <c:numCache>
                <c:formatCode>0%</c:formatCode>
                <c:ptCount val="9"/>
                <c:pt idx="0">
                  <c:v>-9.6611409516942998E-2</c:v>
                </c:pt>
                <c:pt idx="1">
                  <c:v>-7.0097912421856312E-2</c:v>
                </c:pt>
                <c:pt idx="2">
                  <c:v>-4.3584415326769627E-2</c:v>
                </c:pt>
                <c:pt idx="3">
                  <c:v>-1.7070918231682945E-2</c:v>
                </c:pt>
                <c:pt idx="4">
                  <c:v>9.4425788634037375E-3</c:v>
                </c:pt>
                <c:pt idx="5">
                  <c:v>3.5956075958490416E-2</c:v>
                </c:pt>
                <c:pt idx="6">
                  <c:v>6.2469573053577102E-2</c:v>
                </c:pt>
                <c:pt idx="7">
                  <c:v>8.8983070148663787E-2</c:v>
                </c:pt>
                <c:pt idx="8">
                  <c:v>0.11549656724375047</c:v>
                </c:pt>
              </c:numCache>
            </c:numRef>
          </c:cat>
          <c:val>
            <c:numRef>
              <c:f>TOTAL!$I$11:$I$19</c:f>
              <c:numCache>
                <c:formatCode>0.0%</c:formatCode>
                <c:ptCount val="9"/>
                <c:pt idx="0">
                  <c:v>1.9607843137254902E-2</c:v>
                </c:pt>
                <c:pt idx="1">
                  <c:v>1.9607843137254902E-2</c:v>
                </c:pt>
                <c:pt idx="2">
                  <c:v>7.8431372549019607E-2</c:v>
                </c:pt>
                <c:pt idx="3">
                  <c:v>0.21568627450980393</c:v>
                </c:pt>
                <c:pt idx="4">
                  <c:v>0.29411764705882354</c:v>
                </c:pt>
                <c:pt idx="5">
                  <c:v>0.19607843137254902</c:v>
                </c:pt>
                <c:pt idx="6">
                  <c:v>9.8039215686274508E-2</c:v>
                </c:pt>
                <c:pt idx="7">
                  <c:v>7.8431372549019607E-2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89698928"/>
        <c:axId val="1089701168"/>
      </c:barChart>
      <c:scatterChart>
        <c:scatterStyle val="smoothMarker"/>
        <c:varyColors val="0"/>
        <c:ser>
          <c:idx val="1"/>
          <c:order val="1"/>
          <c:marker>
            <c:symbol val="none"/>
          </c:marker>
          <c:yVal>
            <c:numRef>
              <c:f>TOTAL!$I$11:$I$19</c:f>
              <c:numCache>
                <c:formatCode>0.0%</c:formatCode>
                <c:ptCount val="9"/>
                <c:pt idx="0">
                  <c:v>1.9607843137254902E-2</c:v>
                </c:pt>
                <c:pt idx="1">
                  <c:v>1.9607843137254902E-2</c:v>
                </c:pt>
                <c:pt idx="2">
                  <c:v>7.8431372549019607E-2</c:v>
                </c:pt>
                <c:pt idx="3">
                  <c:v>0.21568627450980393</c:v>
                </c:pt>
                <c:pt idx="4">
                  <c:v>0.29411764705882354</c:v>
                </c:pt>
                <c:pt idx="5">
                  <c:v>0.19607843137254902</c:v>
                </c:pt>
                <c:pt idx="6">
                  <c:v>9.8039215686274508E-2</c:v>
                </c:pt>
                <c:pt idx="7">
                  <c:v>7.8431372549019607E-2</c:v>
                </c:pt>
                <c:pt idx="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698928"/>
        <c:axId val="1089701168"/>
      </c:scatterChart>
      <c:catAx>
        <c:axId val="1089698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crossAx val="1089701168"/>
        <c:crosses val="autoZero"/>
        <c:auto val="1"/>
        <c:lblAlgn val="ctr"/>
        <c:lblOffset val="100"/>
        <c:noMultiLvlLbl val="0"/>
      </c:catAx>
      <c:valAx>
        <c:axId val="108970116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8969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TOTAL!$B$2</c:f>
              <c:strCache>
                <c:ptCount val="1"/>
                <c:pt idx="0">
                  <c:v>Côte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TOTAL!$A$3:$A$54</c:f>
              <c:numCache>
                <c:formatCode>m/d/yyyy</c:formatCode>
                <c:ptCount val="52"/>
                <c:pt idx="0">
                  <c:v>41974</c:v>
                </c:pt>
                <c:pt idx="1">
                  <c:v>41981</c:v>
                </c:pt>
                <c:pt idx="2">
                  <c:v>41988</c:v>
                </c:pt>
                <c:pt idx="3">
                  <c:v>41995</c:v>
                </c:pt>
                <c:pt idx="4">
                  <c:v>42002</c:v>
                </c:pt>
                <c:pt idx="5">
                  <c:v>42009</c:v>
                </c:pt>
                <c:pt idx="6">
                  <c:v>42016</c:v>
                </c:pt>
                <c:pt idx="7">
                  <c:v>42024</c:v>
                </c:pt>
                <c:pt idx="8">
                  <c:v>42030</c:v>
                </c:pt>
                <c:pt idx="9">
                  <c:v>42037</c:v>
                </c:pt>
                <c:pt idx="10">
                  <c:v>42044</c:v>
                </c:pt>
                <c:pt idx="11">
                  <c:v>42052</c:v>
                </c:pt>
                <c:pt idx="12">
                  <c:v>42058</c:v>
                </c:pt>
                <c:pt idx="13">
                  <c:v>42065</c:v>
                </c:pt>
                <c:pt idx="14">
                  <c:v>42072</c:v>
                </c:pt>
                <c:pt idx="15">
                  <c:v>42079</c:v>
                </c:pt>
                <c:pt idx="16">
                  <c:v>42086</c:v>
                </c:pt>
                <c:pt idx="17">
                  <c:v>42093</c:v>
                </c:pt>
                <c:pt idx="18">
                  <c:v>42100</c:v>
                </c:pt>
                <c:pt idx="19">
                  <c:v>42107</c:v>
                </c:pt>
                <c:pt idx="20">
                  <c:v>42114</c:v>
                </c:pt>
                <c:pt idx="21">
                  <c:v>42121</c:v>
                </c:pt>
                <c:pt idx="22">
                  <c:v>42128</c:v>
                </c:pt>
                <c:pt idx="23">
                  <c:v>42135</c:v>
                </c:pt>
                <c:pt idx="24">
                  <c:v>42142</c:v>
                </c:pt>
                <c:pt idx="25">
                  <c:v>42150</c:v>
                </c:pt>
                <c:pt idx="26">
                  <c:v>42156</c:v>
                </c:pt>
                <c:pt idx="27">
                  <c:v>42163</c:v>
                </c:pt>
                <c:pt idx="28">
                  <c:v>42170</c:v>
                </c:pt>
                <c:pt idx="29">
                  <c:v>42177</c:v>
                </c:pt>
                <c:pt idx="30">
                  <c:v>42184</c:v>
                </c:pt>
                <c:pt idx="31">
                  <c:v>42191</c:v>
                </c:pt>
                <c:pt idx="32">
                  <c:v>42198</c:v>
                </c:pt>
                <c:pt idx="33">
                  <c:v>42205</c:v>
                </c:pt>
                <c:pt idx="34">
                  <c:v>42212</c:v>
                </c:pt>
                <c:pt idx="35">
                  <c:v>42219</c:v>
                </c:pt>
                <c:pt idx="36">
                  <c:v>42226</c:v>
                </c:pt>
                <c:pt idx="37">
                  <c:v>42233</c:v>
                </c:pt>
                <c:pt idx="38">
                  <c:v>42240</c:v>
                </c:pt>
                <c:pt idx="39">
                  <c:v>42247</c:v>
                </c:pt>
                <c:pt idx="40">
                  <c:v>42255</c:v>
                </c:pt>
                <c:pt idx="41">
                  <c:v>42261</c:v>
                </c:pt>
                <c:pt idx="42">
                  <c:v>42268</c:v>
                </c:pt>
                <c:pt idx="43">
                  <c:v>42275</c:v>
                </c:pt>
                <c:pt idx="44">
                  <c:v>42282</c:v>
                </c:pt>
                <c:pt idx="45">
                  <c:v>42289</c:v>
                </c:pt>
                <c:pt idx="46">
                  <c:v>42296</c:v>
                </c:pt>
                <c:pt idx="47">
                  <c:v>42303</c:v>
                </c:pt>
                <c:pt idx="48">
                  <c:v>42310</c:v>
                </c:pt>
                <c:pt idx="49">
                  <c:v>42317</c:v>
                </c:pt>
                <c:pt idx="50">
                  <c:v>42324</c:v>
                </c:pt>
                <c:pt idx="51">
                  <c:v>42331</c:v>
                </c:pt>
              </c:numCache>
            </c:numRef>
          </c:xVal>
          <c:yVal>
            <c:numRef>
              <c:f>TOTAL!$B$3:$B$54</c:f>
              <c:numCache>
                <c:formatCode>0.00</c:formatCode>
                <c:ptCount val="52"/>
                <c:pt idx="0">
                  <c:v>55.48</c:v>
                </c:pt>
                <c:pt idx="1">
                  <c:v>50.119999</c:v>
                </c:pt>
                <c:pt idx="2">
                  <c:v>53.330002</c:v>
                </c:pt>
                <c:pt idx="3">
                  <c:v>53.150002000000001</c:v>
                </c:pt>
                <c:pt idx="4">
                  <c:v>51.16</c:v>
                </c:pt>
                <c:pt idx="5">
                  <c:v>48.639999000000003</c:v>
                </c:pt>
                <c:pt idx="6">
                  <c:v>50.91</c:v>
                </c:pt>
                <c:pt idx="7">
                  <c:v>51.209999000000003</c:v>
                </c:pt>
                <c:pt idx="8">
                  <c:v>51.509998000000003</c:v>
                </c:pt>
                <c:pt idx="9">
                  <c:v>53.669998</c:v>
                </c:pt>
                <c:pt idx="10">
                  <c:v>54.139999000000003</c:v>
                </c:pt>
                <c:pt idx="11">
                  <c:v>52.880001</c:v>
                </c:pt>
                <c:pt idx="12">
                  <c:v>53.630001</c:v>
                </c:pt>
                <c:pt idx="13">
                  <c:v>50.77</c:v>
                </c:pt>
                <c:pt idx="14">
                  <c:v>47.16</c:v>
                </c:pt>
                <c:pt idx="15">
                  <c:v>50.650002000000001</c:v>
                </c:pt>
                <c:pt idx="16">
                  <c:v>50.82</c:v>
                </c:pt>
                <c:pt idx="17">
                  <c:v>50.009998000000003</c:v>
                </c:pt>
                <c:pt idx="18">
                  <c:v>51.41</c:v>
                </c:pt>
                <c:pt idx="19">
                  <c:v>52.82</c:v>
                </c:pt>
                <c:pt idx="20">
                  <c:v>51.869999</c:v>
                </c:pt>
                <c:pt idx="21">
                  <c:v>54.32</c:v>
                </c:pt>
                <c:pt idx="22">
                  <c:v>53.77</c:v>
                </c:pt>
                <c:pt idx="23">
                  <c:v>53.549999</c:v>
                </c:pt>
                <c:pt idx="24">
                  <c:v>52.5</c:v>
                </c:pt>
                <c:pt idx="25">
                  <c:v>50.490001999999997</c:v>
                </c:pt>
                <c:pt idx="26">
                  <c:v>50.049999</c:v>
                </c:pt>
                <c:pt idx="27">
                  <c:v>49.950001</c:v>
                </c:pt>
                <c:pt idx="28">
                  <c:v>49.889999000000003</c:v>
                </c:pt>
                <c:pt idx="29">
                  <c:v>52.09</c:v>
                </c:pt>
                <c:pt idx="30">
                  <c:v>48.610000999999997</c:v>
                </c:pt>
                <c:pt idx="31">
                  <c:v>49.740001999999997</c:v>
                </c:pt>
                <c:pt idx="32">
                  <c:v>49.389999000000003</c:v>
                </c:pt>
                <c:pt idx="33">
                  <c:v>47.900002000000001</c:v>
                </c:pt>
                <c:pt idx="34">
                  <c:v>49.290000999999997</c:v>
                </c:pt>
                <c:pt idx="35">
                  <c:v>49.830002</c:v>
                </c:pt>
                <c:pt idx="36">
                  <c:v>49.060001</c:v>
                </c:pt>
                <c:pt idx="37">
                  <c:v>46.029998999999997</c:v>
                </c:pt>
                <c:pt idx="38">
                  <c:v>46.09</c:v>
                </c:pt>
                <c:pt idx="39">
                  <c:v>44.110000999999997</c:v>
                </c:pt>
                <c:pt idx="40">
                  <c:v>45.119999</c:v>
                </c:pt>
                <c:pt idx="41">
                  <c:v>46.189999</c:v>
                </c:pt>
                <c:pt idx="42">
                  <c:v>44.389999000000003</c:v>
                </c:pt>
                <c:pt idx="43">
                  <c:v>47.200001</c:v>
                </c:pt>
                <c:pt idx="44">
                  <c:v>51.400002000000001</c:v>
                </c:pt>
                <c:pt idx="45">
                  <c:v>51.970001000000003</c:v>
                </c:pt>
                <c:pt idx="46">
                  <c:v>50.389999000000003</c:v>
                </c:pt>
                <c:pt idx="47">
                  <c:v>48.23</c:v>
                </c:pt>
                <c:pt idx="48">
                  <c:v>50.009998000000003</c:v>
                </c:pt>
                <c:pt idx="49">
                  <c:v>48.049999</c:v>
                </c:pt>
                <c:pt idx="50">
                  <c:v>49.23</c:v>
                </c:pt>
                <c:pt idx="51">
                  <c:v>49.23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394416"/>
        <c:axId val="1138103536"/>
      </c:scatterChart>
      <c:valAx>
        <c:axId val="108939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C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11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8103536"/>
        <c:crosses val="autoZero"/>
        <c:crossBetween val="midCat"/>
        <c:majorUnit val="30"/>
      </c:valAx>
      <c:valAx>
        <c:axId val="11381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939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ACCENTURE!$E$2</c:f>
          <c:strCache>
            <c:ptCount val="1"/>
            <c:pt idx="0">
              <c:v>Fréquence des Taux de rentabilité ACCENTURE</c:v>
            </c:pt>
          </c:strCache>
        </c:strRef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0643099567301517E-2"/>
          <c:y val="0.11388003684997258"/>
          <c:w val="0.91608082147730618"/>
          <c:h val="0.8246995737326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ACCENTURE!$C$2</c:f>
              <c:strCache>
                <c:ptCount val="1"/>
                <c:pt idx="0">
                  <c:v>Taux de rentabilité ACCENTURE</c:v>
                </c:pt>
              </c:strCache>
            </c:strRef>
          </c:tx>
          <c:invertIfNegative val="0"/>
          <c:cat>
            <c:numRef>
              <c:f>ACCENTURE!$G$11:$G$19</c:f>
              <c:numCache>
                <c:formatCode>0%</c:formatCode>
                <c:ptCount val="9"/>
                <c:pt idx="0">
                  <c:v>-6.1092316899728799E-2</c:v>
                </c:pt>
                <c:pt idx="1">
                  <c:v>-3.7346528405342992E-2</c:v>
                </c:pt>
                <c:pt idx="2">
                  <c:v>-1.3600739910957185E-2</c:v>
                </c:pt>
                <c:pt idx="3">
                  <c:v>1.0145048583428622E-2</c:v>
                </c:pt>
                <c:pt idx="4">
                  <c:v>3.3890837077814429E-2</c:v>
                </c:pt>
                <c:pt idx="5">
                  <c:v>5.7636625572200235E-2</c:v>
                </c:pt>
                <c:pt idx="6">
                  <c:v>8.1382414066586042E-2</c:v>
                </c:pt>
                <c:pt idx="7">
                  <c:v>0.10512820256097186</c:v>
                </c:pt>
                <c:pt idx="8">
                  <c:v>0.12887399105535766</c:v>
                </c:pt>
              </c:numCache>
            </c:numRef>
          </c:cat>
          <c:val>
            <c:numRef>
              <c:f>ACCENTURE!$I$11:$I$19</c:f>
              <c:numCache>
                <c:formatCode>0.0%</c:formatCode>
                <c:ptCount val="9"/>
                <c:pt idx="0">
                  <c:v>1.9607843137254902E-2</c:v>
                </c:pt>
                <c:pt idx="1">
                  <c:v>3.9215686274509803E-2</c:v>
                </c:pt>
                <c:pt idx="2">
                  <c:v>0.13725490196078433</c:v>
                </c:pt>
                <c:pt idx="3">
                  <c:v>0.45098039215686275</c:v>
                </c:pt>
                <c:pt idx="4">
                  <c:v>0.23529411764705882</c:v>
                </c:pt>
                <c:pt idx="5">
                  <c:v>9.8039215686274508E-2</c:v>
                </c:pt>
                <c:pt idx="6">
                  <c:v>0</c:v>
                </c:pt>
                <c:pt idx="7">
                  <c:v>1.9607843137254902E-2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4617184"/>
        <c:axId val="1114057936"/>
      </c:barChart>
      <c:scatterChart>
        <c:scatterStyle val="smoothMarker"/>
        <c:varyColors val="0"/>
        <c:ser>
          <c:idx val="1"/>
          <c:order val="1"/>
          <c:marker>
            <c:symbol val="none"/>
          </c:marker>
          <c:yVal>
            <c:numRef>
              <c:f>ACCENTURE!$I$11:$I$19</c:f>
              <c:numCache>
                <c:formatCode>0.0%</c:formatCode>
                <c:ptCount val="9"/>
                <c:pt idx="0">
                  <c:v>1.9607843137254902E-2</c:v>
                </c:pt>
                <c:pt idx="1">
                  <c:v>3.9215686274509803E-2</c:v>
                </c:pt>
                <c:pt idx="2">
                  <c:v>0.13725490196078433</c:v>
                </c:pt>
                <c:pt idx="3">
                  <c:v>0.45098039215686275</c:v>
                </c:pt>
                <c:pt idx="4">
                  <c:v>0.23529411764705882</c:v>
                </c:pt>
                <c:pt idx="5">
                  <c:v>9.8039215686274508E-2</c:v>
                </c:pt>
                <c:pt idx="6">
                  <c:v>0</c:v>
                </c:pt>
                <c:pt idx="7">
                  <c:v>1.9607843137254902E-2</c:v>
                </c:pt>
                <c:pt idx="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17184"/>
        <c:axId val="1114057936"/>
      </c:scatterChart>
      <c:catAx>
        <c:axId val="114461718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crossAx val="1114057936"/>
        <c:crosses val="autoZero"/>
        <c:auto val="1"/>
        <c:lblAlgn val="ctr"/>
        <c:lblOffset val="100"/>
        <c:noMultiLvlLbl val="0"/>
      </c:catAx>
      <c:valAx>
        <c:axId val="11140579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4461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ACCENTURE!$B$2</c:f>
              <c:strCache>
                <c:ptCount val="1"/>
                <c:pt idx="0">
                  <c:v>Côte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ACCENTURE!$A$3:$A$54</c:f>
              <c:numCache>
                <c:formatCode>m/d/yyyy</c:formatCode>
                <c:ptCount val="52"/>
                <c:pt idx="0">
                  <c:v>41974</c:v>
                </c:pt>
                <c:pt idx="1">
                  <c:v>41981</c:v>
                </c:pt>
                <c:pt idx="2">
                  <c:v>41988</c:v>
                </c:pt>
                <c:pt idx="3">
                  <c:v>41995</c:v>
                </c:pt>
                <c:pt idx="4">
                  <c:v>42002</c:v>
                </c:pt>
                <c:pt idx="5">
                  <c:v>42009</c:v>
                </c:pt>
                <c:pt idx="6">
                  <c:v>42016</c:v>
                </c:pt>
                <c:pt idx="7">
                  <c:v>42024</c:v>
                </c:pt>
                <c:pt idx="8">
                  <c:v>42030</c:v>
                </c:pt>
                <c:pt idx="9">
                  <c:v>42037</c:v>
                </c:pt>
                <c:pt idx="10">
                  <c:v>42044</c:v>
                </c:pt>
                <c:pt idx="11">
                  <c:v>42052</c:v>
                </c:pt>
                <c:pt idx="12">
                  <c:v>42058</c:v>
                </c:pt>
                <c:pt idx="13">
                  <c:v>42065</c:v>
                </c:pt>
                <c:pt idx="14">
                  <c:v>42072</c:v>
                </c:pt>
                <c:pt idx="15">
                  <c:v>42079</c:v>
                </c:pt>
                <c:pt idx="16">
                  <c:v>42086</c:v>
                </c:pt>
                <c:pt idx="17">
                  <c:v>42093</c:v>
                </c:pt>
                <c:pt idx="18">
                  <c:v>42100</c:v>
                </c:pt>
                <c:pt idx="19">
                  <c:v>42107</c:v>
                </c:pt>
                <c:pt idx="20">
                  <c:v>42114</c:v>
                </c:pt>
                <c:pt idx="21">
                  <c:v>42121</c:v>
                </c:pt>
                <c:pt idx="22">
                  <c:v>42128</c:v>
                </c:pt>
                <c:pt idx="23">
                  <c:v>42135</c:v>
                </c:pt>
                <c:pt idx="24">
                  <c:v>42142</c:v>
                </c:pt>
                <c:pt idx="25">
                  <c:v>42150</c:v>
                </c:pt>
                <c:pt idx="26">
                  <c:v>42156</c:v>
                </c:pt>
                <c:pt idx="27">
                  <c:v>42163</c:v>
                </c:pt>
                <c:pt idx="28">
                  <c:v>42170</c:v>
                </c:pt>
                <c:pt idx="29">
                  <c:v>42177</c:v>
                </c:pt>
                <c:pt idx="30">
                  <c:v>42184</c:v>
                </c:pt>
                <c:pt idx="31">
                  <c:v>42191</c:v>
                </c:pt>
                <c:pt idx="32">
                  <c:v>42198</c:v>
                </c:pt>
                <c:pt idx="33">
                  <c:v>42205</c:v>
                </c:pt>
                <c:pt idx="34">
                  <c:v>42212</c:v>
                </c:pt>
                <c:pt idx="35">
                  <c:v>42219</c:v>
                </c:pt>
                <c:pt idx="36">
                  <c:v>42226</c:v>
                </c:pt>
                <c:pt idx="37">
                  <c:v>42233</c:v>
                </c:pt>
                <c:pt idx="38">
                  <c:v>42240</c:v>
                </c:pt>
                <c:pt idx="39">
                  <c:v>42247</c:v>
                </c:pt>
                <c:pt idx="40">
                  <c:v>42255</c:v>
                </c:pt>
                <c:pt idx="41">
                  <c:v>42261</c:v>
                </c:pt>
                <c:pt idx="42">
                  <c:v>42268</c:v>
                </c:pt>
                <c:pt idx="43">
                  <c:v>42275</c:v>
                </c:pt>
                <c:pt idx="44">
                  <c:v>42282</c:v>
                </c:pt>
                <c:pt idx="45">
                  <c:v>42289</c:v>
                </c:pt>
                <c:pt idx="46">
                  <c:v>42296</c:v>
                </c:pt>
                <c:pt idx="47">
                  <c:v>42303</c:v>
                </c:pt>
                <c:pt idx="48">
                  <c:v>42310</c:v>
                </c:pt>
                <c:pt idx="49">
                  <c:v>42317</c:v>
                </c:pt>
                <c:pt idx="50">
                  <c:v>42324</c:v>
                </c:pt>
                <c:pt idx="51">
                  <c:v>42331</c:v>
                </c:pt>
              </c:numCache>
            </c:numRef>
          </c:xVal>
          <c:yVal>
            <c:numRef>
              <c:f>ACCENTURE!$B$3:$B$54</c:f>
              <c:numCache>
                <c:formatCode>0.00</c:formatCode>
                <c:ptCount val="52"/>
                <c:pt idx="0">
                  <c:v>86.190002000000007</c:v>
                </c:pt>
                <c:pt idx="1">
                  <c:v>81.900002000000001</c:v>
                </c:pt>
                <c:pt idx="2">
                  <c:v>90.510002</c:v>
                </c:pt>
                <c:pt idx="3">
                  <c:v>91.260002</c:v>
                </c:pt>
                <c:pt idx="4">
                  <c:v>88.839995999999999</c:v>
                </c:pt>
                <c:pt idx="5">
                  <c:v>89.779999000000004</c:v>
                </c:pt>
                <c:pt idx="6">
                  <c:v>88.889999000000003</c:v>
                </c:pt>
                <c:pt idx="7">
                  <c:v>89.220000999999996</c:v>
                </c:pt>
                <c:pt idx="8">
                  <c:v>84.029999000000004</c:v>
                </c:pt>
                <c:pt idx="9">
                  <c:v>88.150002000000001</c:v>
                </c:pt>
                <c:pt idx="10">
                  <c:v>89.790001000000004</c:v>
                </c:pt>
                <c:pt idx="11">
                  <c:v>90.489998</c:v>
                </c:pt>
                <c:pt idx="12">
                  <c:v>90.029999000000004</c:v>
                </c:pt>
                <c:pt idx="13">
                  <c:v>90.669998000000007</c:v>
                </c:pt>
                <c:pt idx="14">
                  <c:v>87.870002999999997</c:v>
                </c:pt>
                <c:pt idx="15">
                  <c:v>91.480002999999996</c:v>
                </c:pt>
                <c:pt idx="16">
                  <c:v>93.940002000000007</c:v>
                </c:pt>
                <c:pt idx="17">
                  <c:v>94.18</c:v>
                </c:pt>
                <c:pt idx="18">
                  <c:v>94.690002000000007</c:v>
                </c:pt>
                <c:pt idx="19">
                  <c:v>92.389999000000003</c:v>
                </c:pt>
                <c:pt idx="20">
                  <c:v>93.400002000000001</c:v>
                </c:pt>
                <c:pt idx="21">
                  <c:v>93.360000999999997</c:v>
                </c:pt>
                <c:pt idx="22">
                  <c:v>95.889999000000003</c:v>
                </c:pt>
                <c:pt idx="23">
                  <c:v>97.019997000000004</c:v>
                </c:pt>
                <c:pt idx="24">
                  <c:v>96.389999000000003</c:v>
                </c:pt>
                <c:pt idx="25">
                  <c:v>96.040001000000004</c:v>
                </c:pt>
                <c:pt idx="26">
                  <c:v>95.400002000000001</c:v>
                </c:pt>
                <c:pt idx="27">
                  <c:v>96.099997999999999</c:v>
                </c:pt>
                <c:pt idx="28">
                  <c:v>97.019997000000004</c:v>
                </c:pt>
                <c:pt idx="29">
                  <c:v>99</c:v>
                </c:pt>
                <c:pt idx="30">
                  <c:v>97.330001999999993</c:v>
                </c:pt>
                <c:pt idx="31">
                  <c:v>98.779999000000004</c:v>
                </c:pt>
                <c:pt idx="32">
                  <c:v>100.480003</c:v>
                </c:pt>
                <c:pt idx="33">
                  <c:v>101.16999800000001</c:v>
                </c:pt>
                <c:pt idx="34">
                  <c:v>103.110001</c:v>
                </c:pt>
                <c:pt idx="35">
                  <c:v>103.739998</c:v>
                </c:pt>
                <c:pt idx="36">
                  <c:v>103.449997</c:v>
                </c:pt>
                <c:pt idx="37">
                  <c:v>97.129997000000003</c:v>
                </c:pt>
                <c:pt idx="38">
                  <c:v>95.849997999999999</c:v>
                </c:pt>
                <c:pt idx="39">
                  <c:v>94.449996999999996</c:v>
                </c:pt>
                <c:pt idx="40">
                  <c:v>97.349997999999999</c:v>
                </c:pt>
                <c:pt idx="41">
                  <c:v>97.529999000000004</c:v>
                </c:pt>
                <c:pt idx="42">
                  <c:v>96.940002000000007</c:v>
                </c:pt>
                <c:pt idx="43">
                  <c:v>99.389999000000003</c:v>
                </c:pt>
                <c:pt idx="44">
                  <c:v>104.779999</c:v>
                </c:pt>
                <c:pt idx="45">
                  <c:v>103.010002</c:v>
                </c:pt>
                <c:pt idx="46">
                  <c:v>107.989998</c:v>
                </c:pt>
                <c:pt idx="47">
                  <c:v>107.199997</c:v>
                </c:pt>
                <c:pt idx="48">
                  <c:v>106</c:v>
                </c:pt>
                <c:pt idx="49">
                  <c:v>103.150002</c:v>
                </c:pt>
                <c:pt idx="50">
                  <c:v>107.970001</c:v>
                </c:pt>
                <c:pt idx="51">
                  <c:v>107.459999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252960"/>
        <c:axId val="1145252400"/>
      </c:scatterChart>
      <c:valAx>
        <c:axId val="114525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C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11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5252400"/>
        <c:crosses val="autoZero"/>
        <c:crossBetween val="midCat"/>
        <c:majorUnit val="30"/>
      </c:valAx>
      <c:valAx>
        <c:axId val="114525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5252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APPLE!$E$2</c:f>
          <c:strCache>
            <c:ptCount val="1"/>
            <c:pt idx="0">
              <c:v>Fréquence des Taux de rentabilité APPLE</c:v>
            </c:pt>
          </c:strCache>
        </c:strRef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0643099567301517E-2"/>
          <c:y val="0.11388003684997258"/>
          <c:w val="0.91608082147730618"/>
          <c:h val="0.8246995737326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APPLE!$C$2</c:f>
              <c:strCache>
                <c:ptCount val="1"/>
                <c:pt idx="0">
                  <c:v>Taux de rentabilité APPLE</c:v>
                </c:pt>
              </c:strCache>
            </c:strRef>
          </c:tx>
          <c:invertIfNegative val="0"/>
          <c:cat>
            <c:numRef>
              <c:f>APPLE!$G$11:$G$19</c:f>
              <c:numCache>
                <c:formatCode>0%</c:formatCode>
                <c:ptCount val="9"/>
                <c:pt idx="0">
                  <c:v>-8.7961340875830782E-2</c:v>
                </c:pt>
                <c:pt idx="1">
                  <c:v>-6.5051670977665524E-2</c:v>
                </c:pt>
                <c:pt idx="2">
                  <c:v>-4.2142001079500266E-2</c:v>
                </c:pt>
                <c:pt idx="3">
                  <c:v>-1.9232331181335011E-2</c:v>
                </c:pt>
                <c:pt idx="4">
                  <c:v>3.6773387168302432E-3</c:v>
                </c:pt>
                <c:pt idx="5">
                  <c:v>2.6587008614995498E-2</c:v>
                </c:pt>
                <c:pt idx="6">
                  <c:v>4.9496678513160752E-2</c:v>
                </c:pt>
                <c:pt idx="7">
                  <c:v>7.240634841132601E-2</c:v>
                </c:pt>
                <c:pt idx="8">
                  <c:v>9.5316018309491268E-2</c:v>
                </c:pt>
              </c:numCache>
            </c:numRef>
          </c:cat>
          <c:val>
            <c:numRef>
              <c:f>APPLE!$I$11:$I$19</c:f>
              <c:numCache>
                <c:formatCode>0.0%</c:formatCode>
                <c:ptCount val="9"/>
                <c:pt idx="0">
                  <c:v>1.9607843137254902E-2</c:v>
                </c:pt>
                <c:pt idx="1">
                  <c:v>1.9607843137254902E-2</c:v>
                </c:pt>
                <c:pt idx="2">
                  <c:v>5.8823529411764705E-2</c:v>
                </c:pt>
                <c:pt idx="3">
                  <c:v>0.15686274509803921</c:v>
                </c:pt>
                <c:pt idx="4">
                  <c:v>0.29411764705882354</c:v>
                </c:pt>
                <c:pt idx="5">
                  <c:v>0.25490196078431371</c:v>
                </c:pt>
                <c:pt idx="6">
                  <c:v>7.8431372549019607E-2</c:v>
                </c:pt>
                <c:pt idx="7">
                  <c:v>0.11764705882352941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19567712"/>
        <c:axId val="1019568272"/>
      </c:barChart>
      <c:scatterChart>
        <c:scatterStyle val="smoothMarker"/>
        <c:varyColors val="0"/>
        <c:ser>
          <c:idx val="1"/>
          <c:order val="1"/>
          <c:marker>
            <c:symbol val="none"/>
          </c:marker>
          <c:yVal>
            <c:numRef>
              <c:f>APPLE!$I$11:$I$19</c:f>
              <c:numCache>
                <c:formatCode>0.0%</c:formatCode>
                <c:ptCount val="9"/>
                <c:pt idx="0">
                  <c:v>1.9607843137254902E-2</c:v>
                </c:pt>
                <c:pt idx="1">
                  <c:v>1.9607843137254902E-2</c:v>
                </c:pt>
                <c:pt idx="2">
                  <c:v>5.8823529411764705E-2</c:v>
                </c:pt>
                <c:pt idx="3">
                  <c:v>0.15686274509803921</c:v>
                </c:pt>
                <c:pt idx="4">
                  <c:v>0.29411764705882354</c:v>
                </c:pt>
                <c:pt idx="5">
                  <c:v>0.25490196078431371</c:v>
                </c:pt>
                <c:pt idx="6">
                  <c:v>7.8431372549019607E-2</c:v>
                </c:pt>
                <c:pt idx="7">
                  <c:v>0.11764705882352941</c:v>
                </c:pt>
                <c:pt idx="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67712"/>
        <c:axId val="1019568272"/>
      </c:scatterChart>
      <c:catAx>
        <c:axId val="10195677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crossAx val="1019568272"/>
        <c:crosses val="autoZero"/>
        <c:auto val="1"/>
        <c:lblAlgn val="ctr"/>
        <c:lblOffset val="100"/>
        <c:noMultiLvlLbl val="0"/>
      </c:catAx>
      <c:valAx>
        <c:axId val="101956827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1956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APPLE!$B$2</c:f>
              <c:strCache>
                <c:ptCount val="1"/>
                <c:pt idx="0">
                  <c:v>Côte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APPLE!$A$3:$A$54</c:f>
              <c:numCache>
                <c:formatCode>m/d/yyyy</c:formatCode>
                <c:ptCount val="52"/>
                <c:pt idx="0">
                  <c:v>41974</c:v>
                </c:pt>
                <c:pt idx="1">
                  <c:v>41981</c:v>
                </c:pt>
                <c:pt idx="2">
                  <c:v>41988</c:v>
                </c:pt>
                <c:pt idx="3">
                  <c:v>41995</c:v>
                </c:pt>
                <c:pt idx="4">
                  <c:v>42002</c:v>
                </c:pt>
                <c:pt idx="5">
                  <c:v>42009</c:v>
                </c:pt>
                <c:pt idx="6">
                  <c:v>42016</c:v>
                </c:pt>
                <c:pt idx="7">
                  <c:v>42024</c:v>
                </c:pt>
                <c:pt idx="8">
                  <c:v>42030</c:v>
                </c:pt>
                <c:pt idx="9">
                  <c:v>42037</c:v>
                </c:pt>
                <c:pt idx="10">
                  <c:v>42044</c:v>
                </c:pt>
                <c:pt idx="11">
                  <c:v>42052</c:v>
                </c:pt>
                <c:pt idx="12">
                  <c:v>42058</c:v>
                </c:pt>
                <c:pt idx="13">
                  <c:v>42065</c:v>
                </c:pt>
                <c:pt idx="14">
                  <c:v>42072</c:v>
                </c:pt>
                <c:pt idx="15">
                  <c:v>42079</c:v>
                </c:pt>
                <c:pt idx="16">
                  <c:v>42086</c:v>
                </c:pt>
                <c:pt idx="17">
                  <c:v>42093</c:v>
                </c:pt>
                <c:pt idx="18">
                  <c:v>42100</c:v>
                </c:pt>
                <c:pt idx="19">
                  <c:v>42107</c:v>
                </c:pt>
                <c:pt idx="20">
                  <c:v>42114</c:v>
                </c:pt>
                <c:pt idx="21">
                  <c:v>42121</c:v>
                </c:pt>
                <c:pt idx="22">
                  <c:v>42128</c:v>
                </c:pt>
                <c:pt idx="23">
                  <c:v>42135</c:v>
                </c:pt>
                <c:pt idx="24">
                  <c:v>42142</c:v>
                </c:pt>
                <c:pt idx="25">
                  <c:v>42150</c:v>
                </c:pt>
                <c:pt idx="26">
                  <c:v>42156</c:v>
                </c:pt>
                <c:pt idx="27">
                  <c:v>42163</c:v>
                </c:pt>
                <c:pt idx="28">
                  <c:v>42170</c:v>
                </c:pt>
                <c:pt idx="29">
                  <c:v>42177</c:v>
                </c:pt>
                <c:pt idx="30">
                  <c:v>42184</c:v>
                </c:pt>
                <c:pt idx="31">
                  <c:v>42191</c:v>
                </c:pt>
                <c:pt idx="32">
                  <c:v>42198</c:v>
                </c:pt>
                <c:pt idx="33">
                  <c:v>42205</c:v>
                </c:pt>
                <c:pt idx="34">
                  <c:v>42212</c:v>
                </c:pt>
                <c:pt idx="35">
                  <c:v>42219</c:v>
                </c:pt>
                <c:pt idx="36">
                  <c:v>42226</c:v>
                </c:pt>
                <c:pt idx="37">
                  <c:v>42233</c:v>
                </c:pt>
                <c:pt idx="38">
                  <c:v>42240</c:v>
                </c:pt>
                <c:pt idx="39">
                  <c:v>42247</c:v>
                </c:pt>
                <c:pt idx="40">
                  <c:v>42255</c:v>
                </c:pt>
                <c:pt idx="41">
                  <c:v>42261</c:v>
                </c:pt>
                <c:pt idx="42">
                  <c:v>42268</c:v>
                </c:pt>
                <c:pt idx="43">
                  <c:v>42275</c:v>
                </c:pt>
                <c:pt idx="44">
                  <c:v>42282</c:v>
                </c:pt>
                <c:pt idx="45">
                  <c:v>42289</c:v>
                </c:pt>
                <c:pt idx="46">
                  <c:v>42296</c:v>
                </c:pt>
                <c:pt idx="47">
                  <c:v>42303</c:v>
                </c:pt>
                <c:pt idx="48">
                  <c:v>42310</c:v>
                </c:pt>
                <c:pt idx="49">
                  <c:v>42317</c:v>
                </c:pt>
                <c:pt idx="50">
                  <c:v>42324</c:v>
                </c:pt>
                <c:pt idx="51">
                  <c:v>42331</c:v>
                </c:pt>
              </c:numCache>
            </c:numRef>
          </c:xVal>
          <c:yVal>
            <c:numRef>
              <c:f>APPLE!$B$3:$B$54</c:f>
              <c:numCache>
                <c:formatCode>0.00</c:formatCode>
                <c:ptCount val="52"/>
                <c:pt idx="0">
                  <c:v>115</c:v>
                </c:pt>
                <c:pt idx="1">
                  <c:v>109.730003</c:v>
                </c:pt>
                <c:pt idx="2">
                  <c:v>111.779999</c:v>
                </c:pt>
                <c:pt idx="3">
                  <c:v>113.989998</c:v>
                </c:pt>
                <c:pt idx="4">
                  <c:v>109.33000199999999</c:v>
                </c:pt>
                <c:pt idx="5">
                  <c:v>112.010002</c:v>
                </c:pt>
                <c:pt idx="6">
                  <c:v>105.989998</c:v>
                </c:pt>
                <c:pt idx="7">
                  <c:v>112.980003</c:v>
                </c:pt>
                <c:pt idx="8">
                  <c:v>117.160004</c:v>
                </c:pt>
                <c:pt idx="9">
                  <c:v>118.93</c:v>
                </c:pt>
                <c:pt idx="10">
                  <c:v>127.08000199999999</c:v>
                </c:pt>
                <c:pt idx="11">
                  <c:v>129.5</c:v>
                </c:pt>
                <c:pt idx="12">
                  <c:v>128.46000699999999</c:v>
                </c:pt>
                <c:pt idx="13">
                  <c:v>126.599998</c:v>
                </c:pt>
                <c:pt idx="14">
                  <c:v>123.589996</c:v>
                </c:pt>
                <c:pt idx="15">
                  <c:v>125.900002</c:v>
                </c:pt>
                <c:pt idx="16">
                  <c:v>123.25</c:v>
                </c:pt>
                <c:pt idx="17">
                  <c:v>125.32</c:v>
                </c:pt>
                <c:pt idx="18">
                  <c:v>127.099998</c:v>
                </c:pt>
                <c:pt idx="19">
                  <c:v>124.75</c:v>
                </c:pt>
                <c:pt idx="20">
                  <c:v>130.279999</c:v>
                </c:pt>
                <c:pt idx="21">
                  <c:v>128.949997</c:v>
                </c:pt>
                <c:pt idx="22">
                  <c:v>127.620003</c:v>
                </c:pt>
                <c:pt idx="23">
                  <c:v>128.770004</c:v>
                </c:pt>
                <c:pt idx="24">
                  <c:v>132.53999300000001</c:v>
                </c:pt>
                <c:pt idx="25">
                  <c:v>130.279999</c:v>
                </c:pt>
                <c:pt idx="26">
                  <c:v>128.64999399999999</c:v>
                </c:pt>
                <c:pt idx="27">
                  <c:v>127.16999800000001</c:v>
                </c:pt>
                <c:pt idx="28">
                  <c:v>126.599998</c:v>
                </c:pt>
                <c:pt idx="29">
                  <c:v>126.75</c:v>
                </c:pt>
                <c:pt idx="30">
                  <c:v>126.44000200000001</c:v>
                </c:pt>
                <c:pt idx="31">
                  <c:v>123.279999</c:v>
                </c:pt>
                <c:pt idx="32">
                  <c:v>129.61999499999999</c:v>
                </c:pt>
                <c:pt idx="33">
                  <c:v>124.5</c:v>
                </c:pt>
                <c:pt idx="34">
                  <c:v>121.300003</c:v>
                </c:pt>
                <c:pt idx="35">
                  <c:v>115.519997</c:v>
                </c:pt>
                <c:pt idx="36">
                  <c:v>115.959999</c:v>
                </c:pt>
                <c:pt idx="37">
                  <c:v>105.760002</c:v>
                </c:pt>
                <c:pt idx="38">
                  <c:v>113.290001</c:v>
                </c:pt>
                <c:pt idx="39">
                  <c:v>109.269997</c:v>
                </c:pt>
                <c:pt idx="40">
                  <c:v>114.209999</c:v>
                </c:pt>
                <c:pt idx="41">
                  <c:v>113.449997</c:v>
                </c:pt>
                <c:pt idx="42">
                  <c:v>114.709999</c:v>
                </c:pt>
                <c:pt idx="43">
                  <c:v>110.379997</c:v>
                </c:pt>
                <c:pt idx="44">
                  <c:v>112.120003</c:v>
                </c:pt>
                <c:pt idx="45">
                  <c:v>111.040001</c:v>
                </c:pt>
                <c:pt idx="46">
                  <c:v>119.08000199999999</c:v>
                </c:pt>
                <c:pt idx="47">
                  <c:v>119.5</c:v>
                </c:pt>
                <c:pt idx="48">
                  <c:v>121.05999799999999</c:v>
                </c:pt>
                <c:pt idx="49">
                  <c:v>112.339996</c:v>
                </c:pt>
                <c:pt idx="50">
                  <c:v>119.300003</c:v>
                </c:pt>
                <c:pt idx="51">
                  <c:v>117.80999799999999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887008"/>
        <c:axId val="1394887568"/>
      </c:scatterChart>
      <c:valAx>
        <c:axId val="139488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C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11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4887568"/>
        <c:crosses val="autoZero"/>
        <c:crossBetween val="midCat"/>
        <c:majorUnit val="30"/>
      </c:valAx>
      <c:valAx>
        <c:axId val="139488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4887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CGI!$E$2</c:f>
          <c:strCache>
            <c:ptCount val="1"/>
            <c:pt idx="0">
              <c:v>Fréquence des Taux de rentabilité CGI</c:v>
            </c:pt>
          </c:strCache>
        </c:strRef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0643099567301517E-2"/>
          <c:y val="0.11388003684997258"/>
          <c:w val="0.91608082147730618"/>
          <c:h val="0.8246995737326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CGI!$C$2</c:f>
              <c:strCache>
                <c:ptCount val="1"/>
                <c:pt idx="0">
                  <c:v>Taux de rentabilité CGI</c:v>
                </c:pt>
              </c:strCache>
            </c:strRef>
          </c:tx>
          <c:invertIfNegative val="0"/>
          <c:cat>
            <c:numRef>
              <c:f>CGI!$G$11:$G$19</c:f>
              <c:numCache>
                <c:formatCode>0%</c:formatCode>
                <c:ptCount val="9"/>
                <c:pt idx="0">
                  <c:v>-7.7501343830930769E-2</c:v>
                </c:pt>
                <c:pt idx="1">
                  <c:v>-5.3461296751344457E-2</c:v>
                </c:pt>
                <c:pt idx="2">
                  <c:v>-2.9421249671758146E-2</c:v>
                </c:pt>
                <c:pt idx="3">
                  <c:v>-5.381202592171834E-3</c:v>
                </c:pt>
                <c:pt idx="4">
                  <c:v>1.8658844487414478E-2</c:v>
                </c:pt>
                <c:pt idx="5">
                  <c:v>4.2698891567000789E-2</c:v>
                </c:pt>
                <c:pt idx="6">
                  <c:v>6.6738938646587101E-2</c:v>
                </c:pt>
                <c:pt idx="7">
                  <c:v>9.0778985726173406E-2</c:v>
                </c:pt>
                <c:pt idx="8">
                  <c:v>0.11481903280575972</c:v>
                </c:pt>
              </c:numCache>
            </c:numRef>
          </c:cat>
          <c:val>
            <c:numRef>
              <c:f>CGI!$I$11:$I$19</c:f>
              <c:numCache>
                <c:formatCode>0.0%</c:formatCode>
                <c:ptCount val="9"/>
                <c:pt idx="0">
                  <c:v>1.9607843137254902E-2</c:v>
                </c:pt>
                <c:pt idx="1">
                  <c:v>1.9607843137254902E-2</c:v>
                </c:pt>
                <c:pt idx="2">
                  <c:v>0.11764705882352941</c:v>
                </c:pt>
                <c:pt idx="3">
                  <c:v>0.19607843137254902</c:v>
                </c:pt>
                <c:pt idx="4">
                  <c:v>0.37254901960784315</c:v>
                </c:pt>
                <c:pt idx="5">
                  <c:v>0.19607843137254902</c:v>
                </c:pt>
                <c:pt idx="6">
                  <c:v>3.9215686274509803E-2</c:v>
                </c:pt>
                <c:pt idx="7">
                  <c:v>3.9215686274509803E-2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07797872"/>
        <c:axId val="1107798432"/>
      </c:barChart>
      <c:scatterChart>
        <c:scatterStyle val="smoothMarker"/>
        <c:varyColors val="0"/>
        <c:ser>
          <c:idx val="1"/>
          <c:order val="1"/>
          <c:marker>
            <c:symbol val="none"/>
          </c:marker>
          <c:yVal>
            <c:numRef>
              <c:f>CGI!$I$11:$I$19</c:f>
              <c:numCache>
                <c:formatCode>0.0%</c:formatCode>
                <c:ptCount val="9"/>
                <c:pt idx="0">
                  <c:v>1.9607843137254902E-2</c:v>
                </c:pt>
                <c:pt idx="1">
                  <c:v>1.9607843137254902E-2</c:v>
                </c:pt>
                <c:pt idx="2">
                  <c:v>0.11764705882352941</c:v>
                </c:pt>
                <c:pt idx="3">
                  <c:v>0.19607843137254902</c:v>
                </c:pt>
                <c:pt idx="4">
                  <c:v>0.37254901960784315</c:v>
                </c:pt>
                <c:pt idx="5">
                  <c:v>0.19607843137254902</c:v>
                </c:pt>
                <c:pt idx="6">
                  <c:v>3.9215686274509803E-2</c:v>
                </c:pt>
                <c:pt idx="7">
                  <c:v>3.9215686274509803E-2</c:v>
                </c:pt>
                <c:pt idx="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797872"/>
        <c:axId val="1107798432"/>
      </c:scatterChart>
      <c:catAx>
        <c:axId val="11077978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crossAx val="1107798432"/>
        <c:crosses val="autoZero"/>
        <c:auto val="1"/>
        <c:lblAlgn val="ctr"/>
        <c:lblOffset val="100"/>
        <c:noMultiLvlLbl val="0"/>
      </c:catAx>
      <c:valAx>
        <c:axId val="11077984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0779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CGI!$B$2</c:f>
              <c:strCache>
                <c:ptCount val="1"/>
                <c:pt idx="0">
                  <c:v>Côte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CGI!$A$3:$A$54</c:f>
              <c:numCache>
                <c:formatCode>m/d/yyyy</c:formatCode>
                <c:ptCount val="52"/>
                <c:pt idx="0">
                  <c:v>41974</c:v>
                </c:pt>
                <c:pt idx="1">
                  <c:v>41981</c:v>
                </c:pt>
                <c:pt idx="2">
                  <c:v>41988</c:v>
                </c:pt>
                <c:pt idx="3">
                  <c:v>41995</c:v>
                </c:pt>
                <c:pt idx="4">
                  <c:v>42002</c:v>
                </c:pt>
                <c:pt idx="5">
                  <c:v>42009</c:v>
                </c:pt>
                <c:pt idx="6">
                  <c:v>42016</c:v>
                </c:pt>
                <c:pt idx="7">
                  <c:v>42024</c:v>
                </c:pt>
                <c:pt idx="8">
                  <c:v>42030</c:v>
                </c:pt>
                <c:pt idx="9">
                  <c:v>42037</c:v>
                </c:pt>
                <c:pt idx="10">
                  <c:v>42044</c:v>
                </c:pt>
                <c:pt idx="11">
                  <c:v>42052</c:v>
                </c:pt>
                <c:pt idx="12">
                  <c:v>42058</c:v>
                </c:pt>
                <c:pt idx="13">
                  <c:v>42065</c:v>
                </c:pt>
                <c:pt idx="14">
                  <c:v>42072</c:v>
                </c:pt>
                <c:pt idx="15">
                  <c:v>42079</c:v>
                </c:pt>
                <c:pt idx="16">
                  <c:v>42086</c:v>
                </c:pt>
                <c:pt idx="17">
                  <c:v>42093</c:v>
                </c:pt>
                <c:pt idx="18">
                  <c:v>42100</c:v>
                </c:pt>
                <c:pt idx="19">
                  <c:v>42107</c:v>
                </c:pt>
                <c:pt idx="20">
                  <c:v>42114</c:v>
                </c:pt>
                <c:pt idx="21">
                  <c:v>42121</c:v>
                </c:pt>
                <c:pt idx="22">
                  <c:v>42128</c:v>
                </c:pt>
                <c:pt idx="23">
                  <c:v>42135</c:v>
                </c:pt>
                <c:pt idx="24">
                  <c:v>42142</c:v>
                </c:pt>
                <c:pt idx="25">
                  <c:v>42150</c:v>
                </c:pt>
                <c:pt idx="26">
                  <c:v>42156</c:v>
                </c:pt>
                <c:pt idx="27">
                  <c:v>42163</c:v>
                </c:pt>
                <c:pt idx="28">
                  <c:v>42170</c:v>
                </c:pt>
                <c:pt idx="29">
                  <c:v>42177</c:v>
                </c:pt>
                <c:pt idx="30">
                  <c:v>42184</c:v>
                </c:pt>
                <c:pt idx="31">
                  <c:v>42191</c:v>
                </c:pt>
                <c:pt idx="32">
                  <c:v>42198</c:v>
                </c:pt>
                <c:pt idx="33">
                  <c:v>42205</c:v>
                </c:pt>
                <c:pt idx="34">
                  <c:v>42212</c:v>
                </c:pt>
                <c:pt idx="35">
                  <c:v>42219</c:v>
                </c:pt>
                <c:pt idx="36">
                  <c:v>42226</c:v>
                </c:pt>
                <c:pt idx="37">
                  <c:v>42233</c:v>
                </c:pt>
                <c:pt idx="38">
                  <c:v>42240</c:v>
                </c:pt>
                <c:pt idx="39">
                  <c:v>42247</c:v>
                </c:pt>
                <c:pt idx="40">
                  <c:v>42255</c:v>
                </c:pt>
                <c:pt idx="41">
                  <c:v>42261</c:v>
                </c:pt>
                <c:pt idx="42">
                  <c:v>42268</c:v>
                </c:pt>
                <c:pt idx="43">
                  <c:v>42275</c:v>
                </c:pt>
                <c:pt idx="44">
                  <c:v>42282</c:v>
                </c:pt>
                <c:pt idx="45">
                  <c:v>42289</c:v>
                </c:pt>
                <c:pt idx="46">
                  <c:v>42296</c:v>
                </c:pt>
                <c:pt idx="47">
                  <c:v>42303</c:v>
                </c:pt>
                <c:pt idx="48">
                  <c:v>42310</c:v>
                </c:pt>
                <c:pt idx="49">
                  <c:v>42317</c:v>
                </c:pt>
                <c:pt idx="50">
                  <c:v>42324</c:v>
                </c:pt>
                <c:pt idx="51">
                  <c:v>42331</c:v>
                </c:pt>
              </c:numCache>
            </c:numRef>
          </c:xVal>
          <c:yVal>
            <c:numRef>
              <c:f>CGI!$B$3:$B$54</c:f>
              <c:numCache>
                <c:formatCode>0.00</c:formatCode>
                <c:ptCount val="52"/>
                <c:pt idx="0">
                  <c:v>36.709999000000003</c:v>
                </c:pt>
                <c:pt idx="1">
                  <c:v>34.919998</c:v>
                </c:pt>
                <c:pt idx="2">
                  <c:v>38.090000000000003</c:v>
                </c:pt>
                <c:pt idx="3">
                  <c:v>38.709999000000003</c:v>
                </c:pt>
                <c:pt idx="4">
                  <c:v>37.900002000000001</c:v>
                </c:pt>
                <c:pt idx="5">
                  <c:v>37.619999</c:v>
                </c:pt>
                <c:pt idx="6">
                  <c:v>38.939999</c:v>
                </c:pt>
                <c:pt idx="7">
                  <c:v>38.900002000000001</c:v>
                </c:pt>
                <c:pt idx="8">
                  <c:v>39.599997999999999</c:v>
                </c:pt>
                <c:pt idx="9">
                  <c:v>41.279998999999997</c:v>
                </c:pt>
                <c:pt idx="10">
                  <c:v>41.900002000000001</c:v>
                </c:pt>
                <c:pt idx="11">
                  <c:v>41.610000999999997</c:v>
                </c:pt>
                <c:pt idx="12">
                  <c:v>41.810001</c:v>
                </c:pt>
                <c:pt idx="13">
                  <c:v>41.959999000000003</c:v>
                </c:pt>
                <c:pt idx="14">
                  <c:v>42.299999</c:v>
                </c:pt>
                <c:pt idx="15">
                  <c:v>43.490001999999997</c:v>
                </c:pt>
                <c:pt idx="16">
                  <c:v>43.110000999999997</c:v>
                </c:pt>
                <c:pt idx="17">
                  <c:v>43.009998000000003</c:v>
                </c:pt>
                <c:pt idx="18">
                  <c:v>44.540000999999997</c:v>
                </c:pt>
                <c:pt idx="19">
                  <c:v>45.130001</c:v>
                </c:pt>
                <c:pt idx="20">
                  <c:v>45.669998</c:v>
                </c:pt>
                <c:pt idx="21">
                  <c:v>42.439999</c:v>
                </c:pt>
                <c:pt idx="22">
                  <c:v>43.43</c:v>
                </c:pt>
                <c:pt idx="23">
                  <c:v>44.27</c:v>
                </c:pt>
                <c:pt idx="24">
                  <c:v>43.330002</c:v>
                </c:pt>
                <c:pt idx="25">
                  <c:v>42.380001</c:v>
                </c:pt>
                <c:pt idx="26">
                  <c:v>42.389999000000003</c:v>
                </c:pt>
                <c:pt idx="27">
                  <c:v>42.790000999999997</c:v>
                </c:pt>
                <c:pt idx="28">
                  <c:v>40.509998000000003</c:v>
                </c:pt>
                <c:pt idx="29">
                  <c:v>41.57</c:v>
                </c:pt>
                <c:pt idx="30">
                  <c:v>39.840000000000003</c:v>
                </c:pt>
                <c:pt idx="31">
                  <c:v>38.93</c:v>
                </c:pt>
                <c:pt idx="32">
                  <c:v>40.25</c:v>
                </c:pt>
                <c:pt idx="33">
                  <c:v>38.909999999999997</c:v>
                </c:pt>
                <c:pt idx="34">
                  <c:v>37.340000000000003</c:v>
                </c:pt>
                <c:pt idx="35">
                  <c:v>38.029998999999997</c:v>
                </c:pt>
                <c:pt idx="36">
                  <c:v>38.580002</c:v>
                </c:pt>
                <c:pt idx="37">
                  <c:v>35.590000000000003</c:v>
                </c:pt>
                <c:pt idx="38">
                  <c:v>37.560001</c:v>
                </c:pt>
                <c:pt idx="39">
                  <c:v>35.889999000000003</c:v>
                </c:pt>
                <c:pt idx="40">
                  <c:v>36.139999000000003</c:v>
                </c:pt>
                <c:pt idx="41">
                  <c:v>36.189999</c:v>
                </c:pt>
                <c:pt idx="42">
                  <c:v>35.889999000000003</c:v>
                </c:pt>
                <c:pt idx="43">
                  <c:v>36.759998000000003</c:v>
                </c:pt>
                <c:pt idx="44">
                  <c:v>37.119999</c:v>
                </c:pt>
                <c:pt idx="45">
                  <c:v>36.860000999999997</c:v>
                </c:pt>
                <c:pt idx="46">
                  <c:v>37.470001000000003</c:v>
                </c:pt>
                <c:pt idx="47">
                  <c:v>37.139999000000003</c:v>
                </c:pt>
                <c:pt idx="48">
                  <c:v>39.790000999999997</c:v>
                </c:pt>
                <c:pt idx="49">
                  <c:v>40.729999999999997</c:v>
                </c:pt>
                <c:pt idx="50">
                  <c:v>42.610000999999997</c:v>
                </c:pt>
                <c:pt idx="51">
                  <c:v>43.060001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648976"/>
        <c:axId val="1138649536"/>
      </c:scatterChart>
      <c:valAx>
        <c:axId val="113864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C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11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8649536"/>
        <c:crosses val="autoZero"/>
        <c:crossBetween val="midCat"/>
        <c:majorUnit val="30"/>
      </c:valAx>
      <c:valAx>
        <c:axId val="113864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864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Asset profile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OAT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TOTAL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ACCENTURE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APPLE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CGI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Portfolio!$G$5:$G$9</c:f>
              <c:numCache>
                <c:formatCode>0.00%</c:formatCode>
                <c:ptCount val="5"/>
                <c:pt idx="0">
                  <c:v>2.3004006345819124E-3</c:v>
                </c:pt>
                <c:pt idx="1">
                  <c:v>3.9355492750163125E-2</c:v>
                </c:pt>
                <c:pt idx="2">
                  <c:v>2.8626785312529039E-2</c:v>
                </c:pt>
                <c:pt idx="3">
                  <c:v>3.6207110054456787E-2</c:v>
                </c:pt>
                <c:pt idx="4">
                  <c:v>3.2916765905044429E-2</c:v>
                </c:pt>
              </c:numCache>
            </c:numRef>
          </c:xVal>
          <c:yVal>
            <c:numRef>
              <c:f>Portfolio!$F$5:$F$9</c:f>
              <c:numCache>
                <c:formatCode>0.00%</c:formatCode>
                <c:ptCount val="5"/>
                <c:pt idx="0">
                  <c:v>8.4861537772452818E-3</c:v>
                </c:pt>
                <c:pt idx="1">
                  <c:v>-1.5789642567486013E-3</c:v>
                </c:pt>
                <c:pt idx="2">
                  <c:v>4.7307432982497807E-3</c:v>
                </c:pt>
                <c:pt idx="3">
                  <c:v>1.1157136292397195E-3</c:v>
                </c:pt>
                <c:pt idx="4">
                  <c:v>3.6651418810500578E-3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750192"/>
        <c:axId val="1098105248"/>
      </c:scatterChart>
      <c:valAx>
        <c:axId val="137975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800"/>
                  <a:t>Risk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8105248"/>
        <c:crosses val="autoZero"/>
        <c:crossBetween val="midCat"/>
      </c:valAx>
      <c:valAx>
        <c:axId val="109810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/>
                  <a:t>Expected return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9750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Diversification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'Ptf-2-Asstes'!$Q$3:$Q$23</c:f>
              <c:numCache>
                <c:formatCode>0.000%</c:formatCode>
                <c:ptCount val="21"/>
                <c:pt idx="0">
                  <c:v>1.2504577305807833E-3</c:v>
                </c:pt>
                <c:pt idx="1">
                  <c:v>1.1971104238808438E-3</c:v>
                </c:pt>
                <c:pt idx="2">
                  <c:v>1.1509847479818352E-3</c:v>
                </c:pt>
                <c:pt idx="3">
                  <c:v>1.1120807028837574E-3</c:v>
                </c:pt>
                <c:pt idx="4">
                  <c:v>1.0803982885866105E-3</c:v>
                </c:pt>
                <c:pt idx="5">
                  <c:v>1.0559375050903945E-3</c:v>
                </c:pt>
                <c:pt idx="6">
                  <c:v>1.0386983523951092E-3</c:v>
                </c:pt>
                <c:pt idx="7">
                  <c:v>1.0286808305007551E-3</c:v>
                </c:pt>
                <c:pt idx="8">
                  <c:v>1.025884939407332E-3</c:v>
                </c:pt>
                <c:pt idx="9">
                  <c:v>1.0303106791148394E-3</c:v>
                </c:pt>
                <c:pt idx="10">
                  <c:v>1.0419580496232781E-3</c:v>
                </c:pt>
                <c:pt idx="11">
                  <c:v>1.0608270509326475E-3</c:v>
                </c:pt>
                <c:pt idx="12">
                  <c:v>1.0869176830429479E-3</c:v>
                </c:pt>
                <c:pt idx="13">
                  <c:v>1.1202299459541791E-3</c:v>
                </c:pt>
                <c:pt idx="14">
                  <c:v>1.160763839666341E-3</c:v>
                </c:pt>
                <c:pt idx="15">
                  <c:v>1.2085193641794344E-3</c:v>
                </c:pt>
                <c:pt idx="16">
                  <c:v>1.2634965194934583E-3</c:v>
                </c:pt>
                <c:pt idx="17">
                  <c:v>1.3256953056084127E-3</c:v>
                </c:pt>
                <c:pt idx="18">
                  <c:v>1.3951157225242986E-3</c:v>
                </c:pt>
                <c:pt idx="19">
                  <c:v>1.4717577702411152E-3</c:v>
                </c:pt>
                <c:pt idx="20">
                  <c:v>1.5556214487588628E-3</c:v>
                </c:pt>
              </c:numCache>
            </c:numRef>
          </c:xVal>
          <c:yVal>
            <c:numRef>
              <c:f>'Ptf-2-Asstes'!$P$3:$P$23</c:f>
              <c:numCache>
                <c:formatCode>0.000%</c:formatCode>
                <c:ptCount val="21"/>
                <c:pt idx="0">
                  <c:v>3.4538349876129196E-3</c:v>
                </c:pt>
                <c:pt idx="1">
                  <c:v>3.4494221480897876E-3</c:v>
                </c:pt>
                <c:pt idx="2">
                  <c:v>3.4450093085666563E-3</c:v>
                </c:pt>
                <c:pt idx="3">
                  <c:v>3.4405964690435238E-3</c:v>
                </c:pt>
                <c:pt idx="4">
                  <c:v>3.4361836295203926E-3</c:v>
                </c:pt>
                <c:pt idx="5">
                  <c:v>3.4317707899972605E-3</c:v>
                </c:pt>
                <c:pt idx="6">
                  <c:v>3.4273579504741289E-3</c:v>
                </c:pt>
                <c:pt idx="7">
                  <c:v>3.4229451109509972E-3</c:v>
                </c:pt>
                <c:pt idx="8">
                  <c:v>3.4185322714278652E-3</c:v>
                </c:pt>
                <c:pt idx="9">
                  <c:v>3.4141194319047335E-3</c:v>
                </c:pt>
                <c:pt idx="10">
                  <c:v>3.4097065923816014E-3</c:v>
                </c:pt>
                <c:pt idx="11">
                  <c:v>3.4052937528584702E-3</c:v>
                </c:pt>
                <c:pt idx="12">
                  <c:v>3.4008809133353381E-3</c:v>
                </c:pt>
                <c:pt idx="13">
                  <c:v>3.3964680738122061E-3</c:v>
                </c:pt>
                <c:pt idx="14">
                  <c:v>3.3920552342890744E-3</c:v>
                </c:pt>
                <c:pt idx="15">
                  <c:v>3.3876423947659428E-3</c:v>
                </c:pt>
                <c:pt idx="16">
                  <c:v>3.3832295552428111E-3</c:v>
                </c:pt>
                <c:pt idx="17">
                  <c:v>3.3788167157196786E-3</c:v>
                </c:pt>
                <c:pt idx="18">
                  <c:v>3.374403876196547E-3</c:v>
                </c:pt>
                <c:pt idx="19">
                  <c:v>3.3699910366734153E-3</c:v>
                </c:pt>
                <c:pt idx="20">
                  <c:v>3.3655781971502837E-3</c:v>
                </c:pt>
              </c:numCache>
            </c:numRef>
          </c:yVal>
          <c:smooth val="1"/>
        </c:ser>
        <c:ser>
          <c:idx val="1"/>
          <c:order val="1"/>
          <c:tx>
            <c:v>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'Ptf-2-Asstes'!$R$3:$R$23</c:f>
              <c:numCache>
                <c:formatCode>0.000%</c:formatCode>
                <c:ptCount val="21"/>
                <c:pt idx="0">
                  <c:v>1.2504577305807833E-3</c:v>
                </c:pt>
                <c:pt idx="1">
                  <c:v>9.9992892616295489E-4</c:v>
                </c:pt>
                <c:pt idx="2">
                  <c:v>7.7737769967425635E-4</c:v>
                </c:pt>
                <c:pt idx="3">
                  <c:v>5.8280405111468727E-4</c:v>
                </c:pt>
                <c:pt idx="4">
                  <c:v>4.1620798048424808E-4</c:v>
                </c:pt>
                <c:pt idx="5">
                  <c:v>2.7758948778293868E-4</c:v>
                </c:pt>
                <c:pt idx="6">
                  <c:v>1.6694857301075884E-4</c:v>
                </c:pt>
                <c:pt idx="7">
                  <c:v>8.4285236167708786E-5</c:v>
                </c:pt>
                <c:pt idx="8">
                  <c:v>2.9599477253788625E-5</c:v>
                </c:pt>
                <c:pt idx="9">
                  <c:v>2.891296268997816E-6</c:v>
                </c:pt>
                <c:pt idx="10">
                  <c:v>4.1606932133370078E-6</c:v>
                </c:pt>
                <c:pt idx="11">
                  <c:v>3.3407668086805984E-5</c:v>
                </c:pt>
                <c:pt idx="12">
                  <c:v>9.0632220889404419E-5</c:v>
                </c:pt>
                <c:pt idx="13">
                  <c:v>1.7583435162113275E-4</c:v>
                </c:pt>
                <c:pt idx="14">
                  <c:v>2.8901406028199043E-4</c:v>
                </c:pt>
                <c:pt idx="15">
                  <c:v>4.3017134687197843E-4</c:v>
                </c:pt>
                <c:pt idx="16">
                  <c:v>5.9930621139109622E-4</c:v>
                </c:pt>
                <c:pt idx="17">
                  <c:v>7.9641865383934282E-4</c:v>
                </c:pt>
                <c:pt idx="18">
                  <c:v>1.0215086742167197E-3</c:v>
                </c:pt>
                <c:pt idx="19">
                  <c:v>1.2745762725232263E-3</c:v>
                </c:pt>
                <c:pt idx="20">
                  <c:v>1.5556214487588628E-3</c:v>
                </c:pt>
              </c:numCache>
            </c:numRef>
          </c:xVal>
          <c:yVal>
            <c:numRef>
              <c:f>'Ptf-2-Asstes'!$P$3:$P$23</c:f>
              <c:numCache>
                <c:formatCode>0.000%</c:formatCode>
                <c:ptCount val="21"/>
                <c:pt idx="0">
                  <c:v>3.4538349876129196E-3</c:v>
                </c:pt>
                <c:pt idx="1">
                  <c:v>3.4494221480897876E-3</c:v>
                </c:pt>
                <c:pt idx="2">
                  <c:v>3.4450093085666563E-3</c:v>
                </c:pt>
                <c:pt idx="3">
                  <c:v>3.4405964690435238E-3</c:v>
                </c:pt>
                <c:pt idx="4">
                  <c:v>3.4361836295203926E-3</c:v>
                </c:pt>
                <c:pt idx="5">
                  <c:v>3.4317707899972605E-3</c:v>
                </c:pt>
                <c:pt idx="6">
                  <c:v>3.4273579504741289E-3</c:v>
                </c:pt>
                <c:pt idx="7">
                  <c:v>3.4229451109509972E-3</c:v>
                </c:pt>
                <c:pt idx="8">
                  <c:v>3.4185322714278652E-3</c:v>
                </c:pt>
                <c:pt idx="9">
                  <c:v>3.4141194319047335E-3</c:v>
                </c:pt>
                <c:pt idx="10">
                  <c:v>3.4097065923816014E-3</c:v>
                </c:pt>
                <c:pt idx="11">
                  <c:v>3.4052937528584702E-3</c:v>
                </c:pt>
                <c:pt idx="12">
                  <c:v>3.4008809133353381E-3</c:v>
                </c:pt>
                <c:pt idx="13">
                  <c:v>3.3964680738122061E-3</c:v>
                </c:pt>
                <c:pt idx="14">
                  <c:v>3.3920552342890744E-3</c:v>
                </c:pt>
                <c:pt idx="15">
                  <c:v>3.3876423947659428E-3</c:v>
                </c:pt>
                <c:pt idx="16">
                  <c:v>3.3832295552428111E-3</c:v>
                </c:pt>
                <c:pt idx="17">
                  <c:v>3.3788167157196786E-3</c:v>
                </c:pt>
                <c:pt idx="18">
                  <c:v>3.374403876196547E-3</c:v>
                </c:pt>
                <c:pt idx="19">
                  <c:v>3.3699910366734153E-3</c:v>
                </c:pt>
                <c:pt idx="20">
                  <c:v>3.3655781971502837E-3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107488"/>
        <c:axId val="1098108048"/>
      </c:scatterChart>
      <c:valAx>
        <c:axId val="1098107488"/>
        <c:scaling>
          <c:orientation val="minMax"/>
          <c:max val="1.6000000000000003E-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'Ptf-2-Asstes'!$Q$2</c:f>
              <c:strCache>
                <c:ptCount val="1"/>
                <c:pt idx="0">
                  <c:v>σ(r12)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8108048"/>
        <c:crosses val="autoZero"/>
        <c:crossBetween val="midCat"/>
      </c:valAx>
      <c:valAx>
        <c:axId val="1098108048"/>
        <c:scaling>
          <c:orientation val="minMax"/>
          <c:min val="3.200000000000001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'Ptf-2-Asstes'!$P$2</c:f>
              <c:strCache>
                <c:ptCount val="1"/>
                <c:pt idx="0">
                  <c:v>E(r12)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8107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Diversification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'Ptf-3-Asstes'!$V$3:$V$23</c:f>
              <c:numCache>
                <c:formatCode>0.000%</c:formatCode>
                <c:ptCount val="21"/>
                <c:pt idx="0">
                  <c:v>1.1045235338178396E-3</c:v>
                </c:pt>
                <c:pt idx="1">
                  <c:v>9.2257323767375035E-4</c:v>
                </c:pt>
                <c:pt idx="2">
                  <c:v>8.2534154118224978E-4</c:v>
                </c:pt>
                <c:pt idx="3">
                  <c:v>8.1282844434333722E-4</c:v>
                </c:pt>
                <c:pt idx="4">
                  <c:v>8.8503394715701343E-4</c:v>
                </c:pt>
                <c:pt idx="5">
                  <c:v>1.0419580496232781E-3</c:v>
                </c:pt>
                <c:pt idx="6">
                  <c:v>9.9824188333532586E-4</c:v>
                </c:pt>
                <c:pt idx="7">
                  <c:v>1.0981756362300676E-3</c:v>
                </c:pt>
                <c:pt idx="8">
                  <c:v>1.2269959123285331E-3</c:v>
                </c:pt>
                <c:pt idx="9">
                  <c:v>1.3951157225242984E-3</c:v>
                </c:pt>
                <c:pt idx="10">
                  <c:v>1.5556214487588624E-3</c:v>
                </c:pt>
                <c:pt idx="11">
                  <c:v>1.2504577305807835E-3</c:v>
                </c:pt>
                <c:pt idx="12">
                  <c:v>1.1289453476128757E-3</c:v>
                </c:pt>
                <c:pt idx="13">
                  <c:v>1.0279269488257083E-3</c:v>
                </c:pt>
                <c:pt idx="14">
                  <c:v>9.4740253421928152E-4</c:v>
                </c:pt>
                <c:pt idx="15">
                  <c:v>8.8737210379359523E-4</c:v>
                </c:pt>
                <c:pt idx="16">
                  <c:v>8.4783565754864966E-4</c:v>
                </c:pt>
                <c:pt idx="17">
                  <c:v>8.2879319548444469E-4</c:v>
                </c:pt>
                <c:pt idx="18">
                  <c:v>8.3024471760098032E-4</c:v>
                </c:pt>
                <c:pt idx="19">
                  <c:v>8.5219022389825655E-4</c:v>
                </c:pt>
                <c:pt idx="20">
                  <c:v>8.946297143762735E-4</c:v>
                </c:pt>
              </c:numCache>
            </c:numRef>
          </c:xVal>
          <c:yVal>
            <c:numRef>
              <c:f>'Ptf-3-Asstes'!$U$3:$U$23</c:f>
              <c:numCache>
                <c:formatCode>0.000%</c:formatCode>
                <c:ptCount val="21"/>
                <c:pt idx="0">
                  <c:v>3.5374987573716468E-3</c:v>
                </c:pt>
                <c:pt idx="1">
                  <c:v>3.511940324373638E-3</c:v>
                </c:pt>
                <c:pt idx="2">
                  <c:v>3.4863818913756289E-3</c:v>
                </c:pt>
                <c:pt idx="3">
                  <c:v>3.4608234583776193E-3</c:v>
                </c:pt>
                <c:pt idx="4">
                  <c:v>3.4352650253796106E-3</c:v>
                </c:pt>
                <c:pt idx="5">
                  <c:v>3.4097065923816014E-3</c:v>
                </c:pt>
                <c:pt idx="6">
                  <c:v>3.4176136672870831E-3</c:v>
                </c:pt>
                <c:pt idx="7">
                  <c:v>3.4087879882408198E-3</c:v>
                </c:pt>
                <c:pt idx="8">
                  <c:v>3.3999623091945565E-3</c:v>
                </c:pt>
                <c:pt idx="9">
                  <c:v>3.3744038761965474E-3</c:v>
                </c:pt>
                <c:pt idx="10">
                  <c:v>3.3655781971502837E-3</c:v>
                </c:pt>
                <c:pt idx="11">
                  <c:v>3.4538349876129196E-3</c:v>
                </c:pt>
                <c:pt idx="12">
                  <c:v>3.4536053365777242E-3</c:v>
                </c:pt>
                <c:pt idx="13">
                  <c:v>3.4533756855425288E-3</c:v>
                </c:pt>
                <c:pt idx="14">
                  <c:v>3.453146034507333E-3</c:v>
                </c:pt>
                <c:pt idx="15">
                  <c:v>3.452916383472138E-3</c:v>
                </c:pt>
                <c:pt idx="16">
                  <c:v>3.4526867324369422E-3</c:v>
                </c:pt>
                <c:pt idx="17">
                  <c:v>3.4524570814017468E-3</c:v>
                </c:pt>
                <c:pt idx="18">
                  <c:v>3.4522274303665518E-3</c:v>
                </c:pt>
                <c:pt idx="19">
                  <c:v>3.451997779331356E-3</c:v>
                </c:pt>
                <c:pt idx="20">
                  <c:v>3.451768128296161E-3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447856"/>
        <c:axId val="1394452336"/>
      </c:scatterChart>
      <c:valAx>
        <c:axId val="139444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4452336"/>
        <c:crosses val="autoZero"/>
        <c:crossBetween val="midCat"/>
      </c:valAx>
      <c:valAx>
        <c:axId val="139445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4447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15</xdr:row>
      <xdr:rowOff>8467</xdr:rowOff>
    </xdr:from>
    <xdr:to>
      <xdr:col>19</xdr:col>
      <xdr:colOff>279524</xdr:colOff>
      <xdr:row>37</xdr:row>
      <xdr:rowOff>142564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391582</xdr:colOff>
      <xdr:row>41</xdr:row>
      <xdr:rowOff>0</xdr:rowOff>
    </xdr:from>
    <xdr:to>
      <xdr:col>19</xdr:col>
      <xdr:colOff>253999</xdr:colOff>
      <xdr:row>58</xdr:row>
      <xdr:rowOff>44450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15</xdr:row>
      <xdr:rowOff>8467</xdr:rowOff>
    </xdr:from>
    <xdr:to>
      <xdr:col>18</xdr:col>
      <xdr:colOff>279524</xdr:colOff>
      <xdr:row>37</xdr:row>
      <xdr:rowOff>142564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391582</xdr:colOff>
      <xdr:row>41</xdr:row>
      <xdr:rowOff>0</xdr:rowOff>
    </xdr:from>
    <xdr:to>
      <xdr:col>18</xdr:col>
      <xdr:colOff>253999</xdr:colOff>
      <xdr:row>58</xdr:row>
      <xdr:rowOff>44450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15</xdr:row>
      <xdr:rowOff>8467</xdr:rowOff>
    </xdr:from>
    <xdr:to>
      <xdr:col>19</xdr:col>
      <xdr:colOff>279524</xdr:colOff>
      <xdr:row>37</xdr:row>
      <xdr:rowOff>142564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391582</xdr:colOff>
      <xdr:row>41</xdr:row>
      <xdr:rowOff>0</xdr:rowOff>
    </xdr:from>
    <xdr:to>
      <xdr:col>19</xdr:col>
      <xdr:colOff>253999</xdr:colOff>
      <xdr:row>58</xdr:row>
      <xdr:rowOff>44450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15</xdr:row>
      <xdr:rowOff>8467</xdr:rowOff>
    </xdr:from>
    <xdr:to>
      <xdr:col>19</xdr:col>
      <xdr:colOff>279524</xdr:colOff>
      <xdr:row>37</xdr:row>
      <xdr:rowOff>142564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391582</xdr:colOff>
      <xdr:row>41</xdr:row>
      <xdr:rowOff>0</xdr:rowOff>
    </xdr:from>
    <xdr:to>
      <xdr:col>19</xdr:col>
      <xdr:colOff>253999</xdr:colOff>
      <xdr:row>58</xdr:row>
      <xdr:rowOff>44450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15</xdr:row>
      <xdr:rowOff>8467</xdr:rowOff>
    </xdr:from>
    <xdr:to>
      <xdr:col>19</xdr:col>
      <xdr:colOff>279524</xdr:colOff>
      <xdr:row>37</xdr:row>
      <xdr:rowOff>142564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391582</xdr:colOff>
      <xdr:row>41</xdr:row>
      <xdr:rowOff>0</xdr:rowOff>
    </xdr:from>
    <xdr:to>
      <xdr:col>19</xdr:col>
      <xdr:colOff>253999</xdr:colOff>
      <xdr:row>58</xdr:row>
      <xdr:rowOff>44450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15</xdr:row>
      <xdr:rowOff>8467</xdr:rowOff>
    </xdr:from>
    <xdr:to>
      <xdr:col>19</xdr:col>
      <xdr:colOff>279524</xdr:colOff>
      <xdr:row>37</xdr:row>
      <xdr:rowOff>142564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391582</xdr:colOff>
      <xdr:row>41</xdr:row>
      <xdr:rowOff>0</xdr:rowOff>
    </xdr:from>
    <xdr:to>
      <xdr:col>19</xdr:col>
      <xdr:colOff>253999</xdr:colOff>
      <xdr:row>58</xdr:row>
      <xdr:rowOff>44450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314324</xdr:colOff>
      <xdr:row>2</xdr:row>
      <xdr:rowOff>52387</xdr:rowOff>
    </xdr:from>
    <xdr:to>
      <xdr:col>21</xdr:col>
      <xdr:colOff>95249</xdr:colOff>
      <xdr:row>27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19049</xdr:colOff>
      <xdr:row>12</xdr:row>
      <xdr:rowOff>38100</xdr:rowOff>
    </xdr:from>
    <xdr:to>
      <xdr:col>28</xdr:col>
      <xdr:colOff>466724</xdr:colOff>
      <xdr:row>31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285749</xdr:colOff>
      <xdr:row>26</xdr:row>
      <xdr:rowOff>4762</xdr:rowOff>
    </xdr:from>
    <xdr:to>
      <xdr:col>25</xdr:col>
      <xdr:colOff>552449</xdr:colOff>
      <xdr:row>42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8" name="tblDataTotal6789" displayName="tblDataTotal6789" ref="A2:C54" totalsRowShown="0" headerRowDxfId="23" dataDxfId="22" headerRowCellStyle="Normal 2">
  <autoFilter ref="A2:C54"/>
  <tableColumns count="3">
    <tableColumn id="1" name="Période" dataDxfId="21" dataCellStyle="Normal 2"/>
    <tableColumn id="3" name="Côte" dataDxfId="20"/>
    <tableColumn id="2" name="Taux de rentabilité DJIA Index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blDataOAT" displayName="tblDataOAT" ref="A2:B55" totalsRowShown="0" headerRowDxfId="47" dataDxfId="46" headerRowCellStyle="Normal 2">
  <autoFilter ref="A2:B55"/>
  <tableColumns count="2">
    <tableColumn id="1" name="Période" dataDxfId="45" dataCellStyle="Normal 2"/>
    <tableColumn id="2" name="Taux de rentabilité OAT" dataDxfId="4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blDataTotal" displayName="tblDataTotal" ref="A2:C54" totalsRowShown="0" headerRowDxfId="43" dataDxfId="42" headerRowCellStyle="Normal 2">
  <autoFilter ref="A2:C54"/>
  <tableColumns count="3">
    <tableColumn id="1" name="Période" dataDxfId="41" dataCellStyle="Normal 2"/>
    <tableColumn id="3" name="Côte" dataDxfId="39"/>
    <tableColumn id="2" name="Taux de rentabilité TOTAL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blDataAccenture" displayName="tblDataAccenture" ref="A2:C54" totalsRowShown="0" headerRowDxfId="38" dataDxfId="37" headerRowCellStyle="Normal 2">
  <autoFilter ref="A2:C54"/>
  <tableColumns count="3">
    <tableColumn id="1" name="Période" dataDxfId="36" dataCellStyle="Normal 2"/>
    <tableColumn id="3" name="Côte" dataDxfId="35"/>
    <tableColumn id="2" name="Taux de rentabilité ACCENTURE" dataDxfId="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blDataApple" displayName="tblDataApple" ref="A2:C54" totalsRowShown="0" headerRowDxfId="33" dataDxfId="32" headerRowCellStyle="Normal 2">
  <autoFilter ref="A2:C54"/>
  <tableColumns count="3">
    <tableColumn id="1" name="Période" dataDxfId="31" dataCellStyle="Normal 2"/>
    <tableColumn id="3" name="Côte" dataDxfId="30"/>
    <tableColumn id="2" name="Taux de rentabilité APPLE" dataDxfId="2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blDataCgi" displayName="tblDataCgi" ref="A2:C54" totalsRowShown="0" headerRowDxfId="28" dataDxfId="27" headerRowCellStyle="Normal 2">
  <autoFilter ref="A2:C54"/>
  <tableColumns count="3">
    <tableColumn id="1" name="Période" dataDxfId="26" dataCellStyle="Normal 2"/>
    <tableColumn id="3" name="Côte" dataDxfId="25"/>
    <tableColumn id="2" name="Taux de rentabilité CGI" dataDxfId="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blPtf2" displayName="tblPtf2" ref="B2:H65" totalsRowShown="0" headerRowDxfId="17">
  <autoFilter ref="B2:H65"/>
  <tableColumns count="7">
    <tableColumn id="1" name="Période" dataDxfId="11"/>
    <tableColumn id="2" name="Asset 1" dataDxfId="12"/>
    <tableColumn id="6" name="Div 1" dataDxfId="15"/>
    <tableColumn id="3" name="Asset 2" dataDxfId="13"/>
    <tableColumn id="7" name="Div 2" dataDxfId="14"/>
    <tableColumn id="4" name="r1" dataDxfId="16" dataCellStyle="Percent">
      <calculatedColumnFormula>(C3-C2)/C2</calculatedColumnFormula>
    </tableColumn>
    <tableColumn id="5" name="r2" dataDxfId="18" dataCellStyle="Percent">
      <calculatedColumnFormula>(E3-E2)/E2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blPtf3" displayName="tblPtf3" ref="B2:K65" totalsRowShown="0" headerRowDxfId="9">
  <autoFilter ref="B2:K65"/>
  <tableColumns count="10">
    <tableColumn id="1" name="Période" dataDxfId="10"/>
    <tableColumn id="2" name="Asset 1"/>
    <tableColumn id="3" name="Div 1"/>
    <tableColumn id="4" name="Asset 2"/>
    <tableColumn id="5" name="Div 2"/>
    <tableColumn id="6" name="Asset 3"/>
    <tableColumn id="7" name="Div 3"/>
    <tableColumn id="8" name="r1" dataDxfId="8">
      <calculatedColumnFormula>(tblPtf3[[#This Row],[Asset 1]]-C2+tblPtf3[[#This Row],[Div 1]])/C2</calculatedColumnFormula>
    </tableColumn>
    <tableColumn id="9" name="r2" dataDxfId="7">
      <calculatedColumnFormula>(tblPtf3[[#This Row],[Asset 2]]-E2+tblPtf3[[#This Row],[Div 2]])/E2</calculatedColumnFormula>
    </tableColumn>
    <tableColumn id="10" name="r3" dataDxfId="6">
      <calculatedColumnFormula>(tblPtf3[[#This Row],[Asset 3]]-G2+tblPtf3[[#This Row],[Div 3]])/G2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20"/>
  <sheetViews>
    <sheetView zoomScale="90" zoomScaleNormal="90" workbookViewId="0">
      <selection activeCell="B3" sqref="B3"/>
    </sheetView>
  </sheetViews>
  <sheetFormatPr defaultColWidth="11.42578125" defaultRowHeight="12.75" x14ac:dyDescent="0.2"/>
  <cols>
    <col min="1" max="2" width="16.140625" style="3" customWidth="1"/>
    <col min="3" max="3" width="17.5703125" style="3" customWidth="1"/>
    <col min="4" max="5" width="5.7109375" style="1" customWidth="1"/>
    <col min="6" max="6" width="7.5703125" style="3" bestFit="1" customWidth="1"/>
    <col min="7" max="7" width="18.42578125" style="1" customWidth="1"/>
    <col min="8" max="10" width="11.42578125" style="1"/>
    <col min="11" max="11" width="5.85546875" style="1" customWidth="1"/>
    <col min="12" max="12" width="17.85546875" style="1" bestFit="1" customWidth="1"/>
    <col min="13" max="14" width="14.140625" style="1" bestFit="1" customWidth="1"/>
    <col min="15" max="18" width="11.42578125" style="1"/>
    <col min="19" max="19" width="5.5703125" style="1" customWidth="1"/>
    <col min="20" max="20" width="5.140625" style="1" customWidth="1"/>
    <col min="21" max="21" width="15.42578125" style="37" customWidth="1"/>
    <col min="22" max="22" width="13.140625" style="1" bestFit="1" customWidth="1"/>
    <col min="23" max="16384" width="11.42578125" style="1"/>
  </cols>
  <sheetData>
    <row r="2" spans="1:22" ht="33" customHeight="1" x14ac:dyDescent="0.2">
      <c r="A2" s="56" t="s">
        <v>39</v>
      </c>
      <c r="B2" s="58" t="s">
        <v>97</v>
      </c>
      <c r="C2" s="58" t="s">
        <v>103</v>
      </c>
      <c r="E2" s="55" t="str">
        <f>"Fréquence des "&amp;tblDataTotal6789[[#Headers],[Taux de rentabilité DJIA Index]]</f>
        <v>Fréquence des Taux de rentabilité DJIA Index</v>
      </c>
      <c r="G2" s="26" t="s">
        <v>26</v>
      </c>
      <c r="H2" s="31">
        <f>V18</f>
        <v>-5.4399623016227465E-2</v>
      </c>
      <c r="L2" s="34" t="s">
        <v>10</v>
      </c>
      <c r="M2" s="35">
        <f>COUNT(tblDataTotal6789[Taux de rentabilité DJIA Index])</f>
        <v>51</v>
      </c>
      <c r="O2" s="36"/>
    </row>
    <row r="3" spans="1:22" x14ac:dyDescent="0.2">
      <c r="A3" s="57">
        <v>41974</v>
      </c>
      <c r="B3" s="20">
        <v>10970.259765999999</v>
      </c>
      <c r="C3" s="61"/>
      <c r="G3" s="26" t="s">
        <v>27</v>
      </c>
      <c r="H3" s="31">
        <f>V13</f>
        <v>3.8872800957261422E-2</v>
      </c>
      <c r="I3" s="25"/>
      <c r="J3" s="25"/>
      <c r="M3" s="3"/>
    </row>
    <row r="4" spans="1:22" x14ac:dyDescent="0.2">
      <c r="A4" s="57">
        <v>41981</v>
      </c>
      <c r="B4" s="20">
        <v>10500.509765999999</v>
      </c>
      <c r="C4" s="61">
        <f>(tblDataTotal6789[[#This Row],[Côte]]-B3)/B3</f>
        <v>-4.2820316931408572E-2</v>
      </c>
      <c r="G4" s="19" t="s">
        <v>23</v>
      </c>
      <c r="H4" s="18">
        <f>H3-H2</f>
        <v>9.3272423973488894E-2</v>
      </c>
      <c r="I4" s="25"/>
      <c r="J4" s="25"/>
      <c r="L4" s="39" t="s">
        <v>13</v>
      </c>
      <c r="M4" s="40" t="s">
        <v>12</v>
      </c>
    </row>
    <row r="5" spans="1:22" x14ac:dyDescent="0.2">
      <c r="A5" s="57">
        <v>41988</v>
      </c>
      <c r="B5" s="20">
        <v>10890.240234000001</v>
      </c>
      <c r="C5" s="61">
        <f>(tblDataTotal6789[[#This Row],[Côte]]-B4)/B4</f>
        <v>3.7115385508418336E-2</v>
      </c>
      <c r="G5" s="19" t="s">
        <v>24</v>
      </c>
      <c r="H5" s="18">
        <f>H4/M14</f>
        <v>1.3324631996212699E-2</v>
      </c>
      <c r="I5" s="25"/>
      <c r="J5" s="25"/>
      <c r="L5" s="41" t="s">
        <v>14</v>
      </c>
      <c r="M5" s="42">
        <f>INT(SQRT(M2)+1)</f>
        <v>8</v>
      </c>
    </row>
    <row r="6" spans="1:22" x14ac:dyDescent="0.2">
      <c r="A6" s="57">
        <v>41995</v>
      </c>
      <c r="B6" s="20">
        <v>10985.400390999999</v>
      </c>
      <c r="C6" s="61">
        <f>(tblDataTotal6789[[#This Row],[Côte]]-B5)/B5</f>
        <v>8.7381136646464928E-3</v>
      </c>
      <c r="G6" s="27" t="s">
        <v>38</v>
      </c>
      <c r="H6" s="35">
        <f>COUNTIFS(tblDataTotal6789[Taux de rentabilité DJIA Index],"&lt;="&amp;H3,tblDataTotal6789[Taux de rentabilité DJIA Index],"&gt;="&amp;H2)</f>
        <v>51</v>
      </c>
      <c r="I6" s="25"/>
      <c r="J6" s="25"/>
      <c r="L6" s="43" t="s">
        <v>11</v>
      </c>
      <c r="M6" s="44">
        <f>INT(1 + LOG(M2,2))</f>
        <v>6</v>
      </c>
      <c r="U6" s="45" t="s">
        <v>31</v>
      </c>
      <c r="V6" s="45"/>
    </row>
    <row r="7" spans="1:22" x14ac:dyDescent="0.2">
      <c r="A7" s="57">
        <v>42002</v>
      </c>
      <c r="B7" s="20">
        <v>10830.919921999999</v>
      </c>
      <c r="C7" s="61">
        <f>(tblDataTotal6789[[#This Row],[Côte]]-B6)/B6</f>
        <v>-1.40623430645788E-2</v>
      </c>
      <c r="G7" s="65" t="s">
        <v>41</v>
      </c>
      <c r="H7" s="62">
        <f>_xlfn.STDEV.S(tblDataTotal6789[Taux de rentabilité DJIA Index])</f>
        <v>1.8917328256506247E-2</v>
      </c>
      <c r="L7" s="43" t="s">
        <v>15</v>
      </c>
      <c r="M7" s="44">
        <f>INT(2*M2^(1/3))</f>
        <v>7</v>
      </c>
      <c r="N7" s="3"/>
    </row>
    <row r="8" spans="1:22" x14ac:dyDescent="0.2">
      <c r="A8" s="57">
        <v>42009</v>
      </c>
      <c r="B8" s="20">
        <v>10711.410156</v>
      </c>
      <c r="C8" s="61">
        <f>(tblDataTotal6789[[#This Row],[Côte]]-B7)/B7</f>
        <v>-1.1034128851534429E-2</v>
      </c>
      <c r="G8" s="65" t="s">
        <v>96</v>
      </c>
      <c r="H8" s="62">
        <f>AVERAGE(tblDataTotal6789[Taux de rentabilité DJIA Index])</f>
        <v>-7.746997415023632E-4</v>
      </c>
      <c r="L8" s="43" t="s">
        <v>16</v>
      </c>
      <c r="M8" s="44">
        <f>INT(1+LOG(M2,2)+LOG(1+P8/R8,2))</f>
        <v>7</v>
      </c>
      <c r="N8" s="46" t="s">
        <v>25</v>
      </c>
      <c r="O8" s="47" t="s">
        <v>19</v>
      </c>
      <c r="P8" s="48">
        <f>ABS(SKEW(tblDataTotal6789[Taux de rentabilité DJIA Index]))</f>
        <v>0.40456677271735608</v>
      </c>
      <c r="Q8" s="47" t="s">
        <v>18</v>
      </c>
      <c r="R8" s="48">
        <f>SQRT((6*(M2-2))/((M2+1)*(M2+3)))</f>
        <v>0.32357511446471698</v>
      </c>
      <c r="U8" s="37" t="s">
        <v>30</v>
      </c>
      <c r="V8" s="1">
        <f>COUNT(tblDataTotal6789[Taux de rentabilité DJIA Index])</f>
        <v>51</v>
      </c>
    </row>
    <row r="9" spans="1:22" x14ac:dyDescent="0.2">
      <c r="A9" s="57">
        <v>42016</v>
      </c>
      <c r="B9" s="20">
        <v>10660.320312</v>
      </c>
      <c r="C9" s="61">
        <f>(tblDataTotal6789[[#This Row],[Côte]]-B8)/B8</f>
        <v>-4.7696655487869718E-3</v>
      </c>
      <c r="L9" s="43" t="s">
        <v>17</v>
      </c>
      <c r="M9" s="44">
        <f>INT(3.5*_xlfn.STDEV.S(tblDataTotal6789[Taux de rentabilité DJIA Index])/(M2^(1/3)))</f>
        <v>0</v>
      </c>
      <c r="N9" s="3"/>
      <c r="U9" s="37" t="s">
        <v>3</v>
      </c>
      <c r="V9" s="15">
        <f>V15-V17</f>
        <v>2.1258888381371251E-2</v>
      </c>
    </row>
    <row r="10" spans="1:22" x14ac:dyDescent="0.2">
      <c r="A10" s="57">
        <v>42024</v>
      </c>
      <c r="B10" s="20">
        <v>10788.330078000001</v>
      </c>
      <c r="C10" s="61">
        <f>(tblDataTotal6789[[#This Row],[Côte]]-B9)/B9</f>
        <v>1.2008060006968489E-2</v>
      </c>
      <c r="F10" s="21" t="s">
        <v>8</v>
      </c>
      <c r="G10" s="22" t="s">
        <v>9</v>
      </c>
      <c r="H10" s="22" t="s">
        <v>35</v>
      </c>
      <c r="I10" s="22" t="s">
        <v>36</v>
      </c>
      <c r="J10" s="12" t="s">
        <v>37</v>
      </c>
      <c r="L10" s="49" t="s">
        <v>21</v>
      </c>
      <c r="M10" s="44">
        <f>INT(2*P10/(M2^(1/3)))</f>
        <v>0</v>
      </c>
      <c r="N10" s="46" t="s">
        <v>25</v>
      </c>
      <c r="O10" s="47" t="s">
        <v>20</v>
      </c>
      <c r="P10" s="48">
        <f>_xlfn.QUARTILE.INC(tblDataTotal6789[Taux de rentabilité DJIA Index],3) - _xlfn.QUARTILE.INC(tblDataTotal6789[Taux de rentabilité DJIA Index],1)</f>
        <v>2.1258888381371251E-2</v>
      </c>
      <c r="U10" s="37" t="s">
        <v>6</v>
      </c>
      <c r="V10" s="50">
        <v>1.5</v>
      </c>
    </row>
    <row r="11" spans="1:22" x14ac:dyDescent="0.2">
      <c r="A11" s="57">
        <v>42030</v>
      </c>
      <c r="B11" s="20">
        <v>10537.219727</v>
      </c>
      <c r="C11" s="61">
        <f>(tblDataTotal6789[[#This Row],[Côte]]-B10)/B10</f>
        <v>-2.3276109387130782E-2</v>
      </c>
      <c r="F11" s="8">
        <v>1</v>
      </c>
      <c r="G11" s="59">
        <f>H2</f>
        <v>-5.4399623016227465E-2</v>
      </c>
      <c r="H11" s="9">
        <f t="array" ref="H11:H40">FREQUENCY(tblDataTotal6789[Taux de rentabilité DJIA Index],G11:G40)</f>
        <v>1</v>
      </c>
      <c r="I11" s="13">
        <f>IF(F11&lt;&gt;"",H11/$H$6,"")</f>
        <v>1.9607843137254902E-2</v>
      </c>
      <c r="J11" s="28">
        <f>I11</f>
        <v>1.9607843137254902E-2</v>
      </c>
      <c r="L11" s="51" t="s">
        <v>34</v>
      </c>
      <c r="M11" s="52">
        <v>15</v>
      </c>
    </row>
    <row r="12" spans="1:22" x14ac:dyDescent="0.2">
      <c r="A12" s="57">
        <v>42037</v>
      </c>
      <c r="B12" s="20">
        <v>10847.509765999999</v>
      </c>
      <c r="C12" s="61">
        <f>(tblDataTotal6789[[#This Row],[Côte]]-B11)/B11</f>
        <v>2.9447050269335199E-2</v>
      </c>
      <c r="F12" s="8">
        <f>IFERROR(IF(F11-2&lt;$M$14,F11+1,""),"")</f>
        <v>2</v>
      </c>
      <c r="G12" s="59">
        <f>IFERROR(IF(G11+$H$5&gt;$H$3+$H$5,"",G11+$H$5),"")</f>
        <v>-4.1074991020014766E-2</v>
      </c>
      <c r="H12" s="9">
        <v>1</v>
      </c>
      <c r="I12" s="13">
        <f>IF(F12&lt;&gt;"",H12/$H$6,"")</f>
        <v>1.9607843137254902E-2</v>
      </c>
      <c r="J12" s="28">
        <f>IF(I12&lt;&gt;"",I12+J11,"")</f>
        <v>3.9215686274509803E-2</v>
      </c>
      <c r="U12" s="4" t="s">
        <v>29</v>
      </c>
      <c r="V12" s="16">
        <f>COUNTIF(tblDataTotal6789[Taux de rentabilité DJIA Index],"&gt;"&amp;V13)</f>
        <v>0</v>
      </c>
    </row>
    <row r="13" spans="1:22" x14ac:dyDescent="0.2">
      <c r="A13" s="57">
        <v>42044</v>
      </c>
      <c r="B13" s="20">
        <v>11042.690430000001</v>
      </c>
      <c r="C13" s="61">
        <f>(tblDataTotal6789[[#This Row],[Côte]]-B12)/B12</f>
        <v>1.7993130977560196E-2</v>
      </c>
      <c r="F13" s="8">
        <f t="shared" ref="F13:F40" si="0">IFERROR(IF(F12-2&lt;$M$14,F12+1,""),"")</f>
        <v>3</v>
      </c>
      <c r="G13" s="59">
        <f>IFERROR(IF(G12+$H$5&gt;$H$3+$H$5,"",G12+$H$5),"")</f>
        <v>-2.7750359023802067E-2</v>
      </c>
      <c r="H13" s="9">
        <v>2</v>
      </c>
      <c r="I13" s="13">
        <f>IF(F13&lt;&gt;"",H13/$H$6,"")</f>
        <v>3.9215686274509803E-2</v>
      </c>
      <c r="J13" s="28">
        <f>IF(I13&lt;&gt;"",I13+J12,"")</f>
        <v>7.8431372549019607E-2</v>
      </c>
      <c r="L13" s="34" t="s">
        <v>22</v>
      </c>
      <c r="M13" s="12" t="s">
        <v>12</v>
      </c>
      <c r="U13" s="4" t="s">
        <v>27</v>
      </c>
      <c r="V13" s="17">
        <f>V14</f>
        <v>3.8872800957261422E-2</v>
      </c>
    </row>
    <row r="14" spans="1:22" x14ac:dyDescent="0.2">
      <c r="A14" s="57">
        <v>42052</v>
      </c>
      <c r="B14" s="20">
        <v>11108.669921999999</v>
      </c>
      <c r="C14" s="61">
        <f>(tblDataTotal6789[[#This Row],[Côte]]-B13)/B13</f>
        <v>5.9749471759844098E-3</v>
      </c>
      <c r="F14" s="8">
        <f t="shared" si="0"/>
        <v>4</v>
      </c>
      <c r="G14" s="59">
        <f>IFERROR(IF(G13+$H$5&gt;$H$3+$H$5,"",G13+$H$5),"")</f>
        <v>-1.4425727027589368E-2</v>
      </c>
      <c r="H14" s="9">
        <v>6</v>
      </c>
      <c r="I14" s="13">
        <f>IF(F14&lt;&gt;"",H14/$H$6,"")</f>
        <v>0.11764705882352941</v>
      </c>
      <c r="J14" s="28">
        <f>IF(I14&lt;&gt;"",I14+J13,"")</f>
        <v>0.19607843137254902</v>
      </c>
      <c r="L14" s="50" t="s">
        <v>15</v>
      </c>
      <c r="M14" s="53">
        <f>VLOOKUP($L$14,$L$5:$M$11,2,FALSE)</f>
        <v>7</v>
      </c>
      <c r="U14" s="4" t="s">
        <v>1</v>
      </c>
      <c r="V14" s="17">
        <f>MAX(tblDataTotal6789[Taux de rentabilité DJIA Index])</f>
        <v>3.8872800957261422E-2</v>
      </c>
    </row>
    <row r="15" spans="1:22" x14ac:dyDescent="0.2">
      <c r="A15" s="57">
        <v>42058</v>
      </c>
      <c r="B15" s="20">
        <v>11062.790039</v>
      </c>
      <c r="C15" s="61">
        <f>(tblDataTotal6789[[#This Row],[Côte]]-B14)/B14</f>
        <v>-4.1300968812780616E-3</v>
      </c>
      <c r="F15" s="8">
        <f t="shared" si="0"/>
        <v>5</v>
      </c>
      <c r="G15" s="59">
        <f>IFERROR(IF(G14+$H$5&gt;$H$3+$H$5,"",G14+$H$5),"")</f>
        <v>-1.1010950313766685E-3</v>
      </c>
      <c r="H15" s="9">
        <v>12</v>
      </c>
      <c r="I15" s="13">
        <f>IF(F15&lt;&gt;"",H15/$H$6,"")</f>
        <v>0.23529411764705882</v>
      </c>
      <c r="J15" s="28">
        <f t="shared" ref="J15:J40" si="1">IF(I15&lt;&gt;"",I15+J14,"")</f>
        <v>0.43137254901960786</v>
      </c>
      <c r="U15" s="4" t="s">
        <v>2</v>
      </c>
      <c r="V15" s="17">
        <f>_xlfn.QUARTILE.INC(tblDataTotal6789[Taux de rentabilité DJIA Index],3)</f>
        <v>1.0268252286274126E-2</v>
      </c>
    </row>
    <row r="16" spans="1:22" x14ac:dyDescent="0.2">
      <c r="A16" s="57">
        <v>42065</v>
      </c>
      <c r="B16" s="20">
        <v>10842.169921999999</v>
      </c>
      <c r="C16" s="61">
        <f>(tblDataTotal6789[[#This Row],[Côte]]-B15)/B15</f>
        <v>-1.9942538565971279E-2</v>
      </c>
      <c r="F16" s="8">
        <f t="shared" si="0"/>
        <v>6</v>
      </c>
      <c r="G16" s="59">
        <f>IFERROR(IF(G15+$H$5&gt;$H$3+$H$5,"",G15+$H$5),"")</f>
        <v>1.2223536964836031E-2</v>
      </c>
      <c r="H16" s="9">
        <v>19</v>
      </c>
      <c r="I16" s="13">
        <f>IF(F16&lt;&gt;"",H16/$H$6,"")</f>
        <v>0.37254901960784315</v>
      </c>
      <c r="J16" s="28">
        <f t="shared" si="1"/>
        <v>0.80392156862745101</v>
      </c>
      <c r="U16" s="4" t="s">
        <v>7</v>
      </c>
      <c r="V16" s="17">
        <f>_xlfn.QUARTILE.INC(tblDataTotal6789[Taux de rentabilité DJIA Index],2)</f>
        <v>6.0608547153579979E-4</v>
      </c>
    </row>
    <row r="17" spans="1:22" x14ac:dyDescent="0.2">
      <c r="A17" s="57">
        <v>42072</v>
      </c>
      <c r="B17" s="20">
        <v>10751.019531</v>
      </c>
      <c r="C17" s="61">
        <f>(tblDataTotal6789[[#This Row],[Côte]]-B16)/B16</f>
        <v>-8.4070247612560173E-3</v>
      </c>
      <c r="F17" s="8">
        <f t="shared" si="0"/>
        <v>7</v>
      </c>
      <c r="G17" s="59">
        <f>IFERROR(IF(G16+$H$5&gt;$H$3+$H$5,"",G16+$H$5),"")</f>
        <v>2.554816896104873E-2</v>
      </c>
      <c r="H17" s="9">
        <v>5</v>
      </c>
      <c r="I17" s="13">
        <f>IF(F17&lt;&gt;"",H17/$H$6,"")</f>
        <v>9.8039215686274508E-2</v>
      </c>
      <c r="J17" s="28">
        <f t="shared" si="1"/>
        <v>0.90196078431372551</v>
      </c>
      <c r="U17" s="4" t="s">
        <v>4</v>
      </c>
      <c r="V17" s="17">
        <f>_xlfn.QUARTILE.INC(tblDataTotal6789[Taux de rentabilité DJIA Index],1)</f>
        <v>-1.0990636095097123E-2</v>
      </c>
    </row>
    <row r="18" spans="1:22" x14ac:dyDescent="0.2">
      <c r="A18" s="57">
        <v>42079</v>
      </c>
      <c r="B18" s="20">
        <v>11070.530273</v>
      </c>
      <c r="C18" s="61">
        <f>(tblDataTotal6789[[#This Row],[Côte]]-B17)/B17</f>
        <v>2.9719110925127423E-2</v>
      </c>
      <c r="F18" s="8">
        <f t="shared" si="0"/>
        <v>8</v>
      </c>
      <c r="G18" s="59">
        <f>IFERROR(IF(G17+$H$5&gt;$H$3+$H$5,"",G17+$H$5),"")</f>
        <v>3.8872800957261429E-2</v>
      </c>
      <c r="H18" s="9">
        <v>5</v>
      </c>
      <c r="I18" s="13">
        <f>IF(F18&lt;&gt;"",H18/$H$6,"")</f>
        <v>9.8039215686274508E-2</v>
      </c>
      <c r="J18" s="28">
        <f t="shared" si="1"/>
        <v>1</v>
      </c>
      <c r="U18" s="4" t="s">
        <v>0</v>
      </c>
      <c r="V18" s="17">
        <f>MIN(tblDataTotal6789[Taux de rentabilité DJIA Index])</f>
        <v>-5.4399623016227465E-2</v>
      </c>
    </row>
    <row r="19" spans="1:22" x14ac:dyDescent="0.2">
      <c r="A19" s="57">
        <v>42086</v>
      </c>
      <c r="B19" s="20">
        <v>10875.139648</v>
      </c>
      <c r="C19" s="61">
        <f>(tblDataTotal6789[[#This Row],[Côte]]-B18)/B18</f>
        <v>-1.7649617514396729E-2</v>
      </c>
      <c r="F19" s="8">
        <f t="shared" si="0"/>
        <v>9</v>
      </c>
      <c r="G19" s="59">
        <f>IFERROR(IF(G18+$H$5&gt;$H$3+$H$5,"",G18+$H$5),"")</f>
        <v>5.2197432953474128E-2</v>
      </c>
      <c r="H19" s="9">
        <v>0</v>
      </c>
      <c r="I19" s="13">
        <f>IF(F19&lt;&gt;"",H19/$H$6,"")</f>
        <v>0</v>
      </c>
      <c r="J19" s="28">
        <f t="shared" si="1"/>
        <v>1</v>
      </c>
      <c r="U19" s="4" t="s">
        <v>26</v>
      </c>
      <c r="V19" s="17">
        <f>V18</f>
        <v>-5.4399623016227465E-2</v>
      </c>
    </row>
    <row r="20" spans="1:22" x14ac:dyDescent="0.2">
      <c r="A20" s="57">
        <v>42093</v>
      </c>
      <c r="B20" s="20">
        <v>10953.160156</v>
      </c>
      <c r="C20" s="61">
        <f>(tblDataTotal6789[[#This Row],[Côte]]-B19)/B19</f>
        <v>7.1742074608069995E-3</v>
      </c>
      <c r="F20" s="8" t="str">
        <f t="shared" si="0"/>
        <v/>
      </c>
      <c r="G20" s="59" t="str">
        <f>IFERROR(IF(G19+$H$5&gt;$H$3+$H$5,"",G19+$H$5),"")</f>
        <v/>
      </c>
      <c r="H20" s="9">
        <v>0</v>
      </c>
      <c r="I20" s="13" t="str">
        <f>IF(F20&lt;&gt;"",H20/$H$6,"")</f>
        <v/>
      </c>
      <c r="J20" s="28" t="str">
        <f t="shared" si="1"/>
        <v/>
      </c>
      <c r="U20" s="4" t="s">
        <v>28</v>
      </c>
      <c r="V20" s="16">
        <f>COUNTIF(tblDataTotal6789[Taux de rentabilité DJIA Index],"&lt;"&amp;V19)</f>
        <v>0</v>
      </c>
    </row>
    <row r="21" spans="1:22" x14ac:dyDescent="0.2">
      <c r="A21" s="57">
        <v>42100</v>
      </c>
      <c r="B21" s="20">
        <v>11112.679688</v>
      </c>
      <c r="C21" s="61">
        <f>(tblDataTotal6789[[#This Row],[Côte]]-B20)/B20</f>
        <v>1.4563790698579123E-2</v>
      </c>
      <c r="F21" s="8" t="str">
        <f t="shared" si="0"/>
        <v/>
      </c>
      <c r="G21" s="59" t="str">
        <f>IFERROR(IF(G20+$H$5&gt;$H$3+$H$5,"",G20+$H$5),"")</f>
        <v/>
      </c>
      <c r="H21" s="9" t="e">
        <v>#N/A</v>
      </c>
      <c r="I21" s="13" t="str">
        <f>IF(F21&lt;&gt;"",H21/$H$6,"")</f>
        <v/>
      </c>
      <c r="J21" s="28" t="str">
        <f t="shared" si="1"/>
        <v/>
      </c>
    </row>
    <row r="22" spans="1:22" x14ac:dyDescent="0.2">
      <c r="A22" s="57">
        <v>42107</v>
      </c>
      <c r="B22" s="20">
        <v>11058.450194999999</v>
      </c>
      <c r="C22" s="61">
        <f>(tblDataTotal6789[[#This Row],[Côte]]-B21)/B21</f>
        <v>-4.8799654559071219E-3</v>
      </c>
      <c r="F22" s="8" t="str">
        <f t="shared" si="0"/>
        <v/>
      </c>
      <c r="G22" s="59" t="str">
        <f>IFERROR(IF(G21+$H$5&gt;$H$3+$H$5,"",G21+$H$5),"")</f>
        <v/>
      </c>
      <c r="H22" s="9" t="e">
        <v>#N/A</v>
      </c>
      <c r="I22" s="13" t="str">
        <f>IF(F22&lt;&gt;"",H22/$H$6,"")</f>
        <v/>
      </c>
      <c r="J22" s="28" t="str">
        <f t="shared" si="1"/>
        <v/>
      </c>
      <c r="U22" s="54" t="s">
        <v>5</v>
      </c>
      <c r="V22" s="15">
        <f>AVERAGE(tblDataTotal6789[Taux de rentabilité DJIA Index])</f>
        <v>-7.746997415023632E-4</v>
      </c>
    </row>
    <row r="23" spans="1:22" x14ac:dyDescent="0.2">
      <c r="A23" s="57">
        <v>42114</v>
      </c>
      <c r="B23" s="20">
        <v>11192.929688</v>
      </c>
      <c r="C23" s="61">
        <f>(tblDataTotal6789[[#This Row],[Côte]]-B22)/B22</f>
        <v>1.2160790221834583E-2</v>
      </c>
      <c r="F23" s="8" t="str">
        <f t="shared" si="0"/>
        <v/>
      </c>
      <c r="G23" s="59" t="str">
        <f>IFERROR(IF(G22+$H$5&gt;$H$3+$H$5,"",G22+$H$5),"")</f>
        <v/>
      </c>
      <c r="H23" s="9" t="e">
        <v>#N/A</v>
      </c>
      <c r="I23" s="13" t="str">
        <f>IF(F23&lt;&gt;"",H23/$H$6,"")</f>
        <v/>
      </c>
      <c r="J23" s="28" t="str">
        <f t="shared" si="1"/>
        <v/>
      </c>
      <c r="U23" s="54" t="s">
        <v>32</v>
      </c>
      <c r="V23" s="15" t="e">
        <f>_xlfn.MODE.SNGL(tblDataTotal6789[Taux de rentabilité DJIA Index])</f>
        <v>#N/A</v>
      </c>
    </row>
    <row r="24" spans="1:22" x14ac:dyDescent="0.2">
      <c r="A24" s="57">
        <v>42121</v>
      </c>
      <c r="B24" s="20">
        <v>11140.360352</v>
      </c>
      <c r="C24" s="61">
        <f>(tblDataTotal6789[[#This Row],[Côte]]-B23)/B23</f>
        <v>-4.6966556089743277E-3</v>
      </c>
      <c r="F24" s="8" t="str">
        <f t="shared" si="0"/>
        <v/>
      </c>
      <c r="G24" s="59" t="str">
        <f>IFERROR(IF(G23+$H$5&gt;$H$3+$H$5,"",G23+$H$5),"")</f>
        <v/>
      </c>
      <c r="H24" s="9" t="e">
        <v>#N/A</v>
      </c>
      <c r="I24" s="13" t="str">
        <f>IF(F24&lt;&gt;"",H24/$H$6,"")</f>
        <v/>
      </c>
      <c r="J24" s="28" t="str">
        <f t="shared" si="1"/>
        <v/>
      </c>
      <c r="U24" s="38" t="s">
        <v>33</v>
      </c>
      <c r="V24" s="1">
        <f>COUNTIF(tblDataTotal6789[Taux de rentabilité DJIA Index],V23)</f>
        <v>0</v>
      </c>
    </row>
    <row r="25" spans="1:22" x14ac:dyDescent="0.2">
      <c r="A25" s="57">
        <v>42128</v>
      </c>
      <c r="B25" s="20">
        <v>11196.5</v>
      </c>
      <c r="C25" s="61">
        <f>(tblDataTotal6789[[#This Row],[Côte]]-B24)/B24</f>
        <v>5.0393026999276287E-3</v>
      </c>
      <c r="F25" s="8" t="str">
        <f t="shared" si="0"/>
        <v/>
      </c>
      <c r="G25" s="59" t="str">
        <f>IFERROR(IF(G24+$H$5&gt;$H$3+$H$5,"",G24+$H$5),"")</f>
        <v/>
      </c>
      <c r="H25" s="9" t="e">
        <v>#N/A</v>
      </c>
      <c r="I25" s="13" t="str">
        <f>IF(F25&lt;&gt;"",H25/$H$6,"")</f>
        <v/>
      </c>
      <c r="J25" s="28" t="str">
        <f t="shared" si="1"/>
        <v/>
      </c>
      <c r="V25" s="14"/>
    </row>
    <row r="26" spans="1:22" x14ac:dyDescent="0.2">
      <c r="A26" s="57">
        <v>42135</v>
      </c>
      <c r="B26" s="20">
        <v>11228.349609000001</v>
      </c>
      <c r="C26" s="61">
        <f>(tblDataTotal6789[[#This Row],[Côte]]-B25)/B25</f>
        <v>2.8446040280445482E-3</v>
      </c>
      <c r="F26" s="8" t="str">
        <f t="shared" si="0"/>
        <v/>
      </c>
      <c r="G26" s="59" t="str">
        <f>IFERROR(IF(G25+$H$5&gt;$H$3+$H$5,"",G25+$H$5),"")</f>
        <v/>
      </c>
      <c r="H26" s="9" t="e">
        <v>#N/A</v>
      </c>
      <c r="I26" s="13" t="str">
        <f>IF(F26&lt;&gt;"",H26/$H$6,"")</f>
        <v/>
      </c>
      <c r="J26" s="28" t="str">
        <f t="shared" si="1"/>
        <v/>
      </c>
      <c r="V26" s="14"/>
    </row>
    <row r="27" spans="1:22" x14ac:dyDescent="0.2">
      <c r="A27" s="57">
        <v>42142</v>
      </c>
      <c r="B27" s="20">
        <v>11197.690430000001</v>
      </c>
      <c r="C27" s="61">
        <f>(tblDataTotal6789[[#This Row],[Côte]]-B26)/B26</f>
        <v>-2.7305151752155619E-3</v>
      </c>
      <c r="F27" s="8" t="str">
        <f t="shared" si="0"/>
        <v/>
      </c>
      <c r="G27" s="59" t="str">
        <f>IFERROR(IF(G26+$H$5&gt;$H$3+$H$5,"",G26+$H$5),"")</f>
        <v/>
      </c>
      <c r="H27" s="9" t="e">
        <v>#N/A</v>
      </c>
      <c r="I27" s="13" t="str">
        <f>IF(F27&lt;&gt;"",H27/$H$6,"")</f>
        <v/>
      </c>
      <c r="J27" s="28" t="str">
        <f t="shared" si="1"/>
        <v/>
      </c>
      <c r="V27" s="14"/>
    </row>
    <row r="28" spans="1:22" x14ac:dyDescent="0.2">
      <c r="A28" s="57">
        <v>42150</v>
      </c>
      <c r="B28" s="20">
        <v>11056.299805000001</v>
      </c>
      <c r="C28" s="61">
        <f>(tblDataTotal6789[[#This Row],[Côte]]-B27)/B27</f>
        <v>-1.2626766732289454E-2</v>
      </c>
      <c r="F28" s="8" t="str">
        <f t="shared" si="0"/>
        <v/>
      </c>
      <c r="G28" s="59" t="str">
        <f>IFERROR(IF(G27+$H$5&gt;$H$3+$H$5,"",G27+$H$5),"")</f>
        <v/>
      </c>
      <c r="H28" s="9" t="e">
        <v>#N/A</v>
      </c>
      <c r="I28" s="13" t="str">
        <f>IF(F28&lt;&gt;"",H28/$H$6,"")</f>
        <v/>
      </c>
      <c r="J28" s="28" t="str">
        <f t="shared" si="1"/>
        <v/>
      </c>
      <c r="V28" s="14"/>
    </row>
    <row r="29" spans="1:22" x14ac:dyDescent="0.2">
      <c r="A29" s="57">
        <v>42156</v>
      </c>
      <c r="B29" s="20">
        <v>10979.330078000001</v>
      </c>
      <c r="C29" s="61">
        <f>(tblDataTotal6789[[#This Row],[Côte]]-B28)/B28</f>
        <v>-6.9616172098726555E-3</v>
      </c>
      <c r="F29" s="8" t="str">
        <f t="shared" si="0"/>
        <v/>
      </c>
      <c r="G29" s="59" t="str">
        <f>IFERROR(IF(G28+$H$5&gt;$H$3+$H$5,"",G28+$H$5),"")</f>
        <v/>
      </c>
      <c r="H29" s="9" t="e">
        <v>#N/A</v>
      </c>
      <c r="I29" s="13" t="str">
        <f>IF(F29&lt;&gt;"",H29/$H$6,"")</f>
        <v/>
      </c>
      <c r="J29" s="28" t="str">
        <f t="shared" si="1"/>
        <v/>
      </c>
      <c r="V29" s="14"/>
    </row>
    <row r="30" spans="1:22" x14ac:dyDescent="0.2">
      <c r="A30" s="57">
        <v>42163</v>
      </c>
      <c r="B30" s="20">
        <v>11009.910156</v>
      </c>
      <c r="C30" s="61">
        <f>(tblDataTotal6789[[#This Row],[Côte]]-B29)/B29</f>
        <v>2.7852407918106353E-3</v>
      </c>
      <c r="F30" s="8" t="str">
        <f t="shared" si="0"/>
        <v/>
      </c>
      <c r="G30" s="59" t="str">
        <f>IFERROR(IF(G29+$H$5&gt;$H$3+$H$5,"",G29+$H$5),"")</f>
        <v/>
      </c>
      <c r="H30" s="9" t="e">
        <v>#N/A</v>
      </c>
      <c r="I30" s="13" t="str">
        <f>IF(F30&lt;&gt;"",H30/$H$6,"")</f>
        <v/>
      </c>
      <c r="J30" s="28" t="str">
        <f t="shared" si="1"/>
        <v/>
      </c>
      <c r="V30" s="14"/>
    </row>
    <row r="31" spans="1:22" x14ac:dyDescent="0.2">
      <c r="A31" s="57">
        <v>42170</v>
      </c>
      <c r="B31" s="20">
        <v>11038.959961</v>
      </c>
      <c r="C31" s="61">
        <f>(tblDataTotal6789[[#This Row],[Côte]]-B30)/B30</f>
        <v>2.6385142647298966E-3</v>
      </c>
      <c r="F31" s="8" t="str">
        <f t="shared" si="0"/>
        <v/>
      </c>
      <c r="G31" s="59" t="str">
        <f>IFERROR(IF(G30+$H$5&gt;$H$3+$H$5,"",G30+$H$5),"")</f>
        <v/>
      </c>
      <c r="H31" s="9" t="e">
        <v>#N/A</v>
      </c>
      <c r="I31" s="13" t="str">
        <f>IF(F31&lt;&gt;"",H31/$H$6,"")</f>
        <v/>
      </c>
      <c r="J31" s="28" t="str">
        <f t="shared" si="1"/>
        <v/>
      </c>
      <c r="V31" s="14"/>
    </row>
    <row r="32" spans="1:22" x14ac:dyDescent="0.2">
      <c r="A32" s="57">
        <v>42177</v>
      </c>
      <c r="B32" s="20">
        <v>11040.309569999999</v>
      </c>
      <c r="C32" s="61">
        <f>(tblDataTotal6789[[#This Row],[Côte]]-B31)/B31</f>
        <v>1.2225870958559984E-4</v>
      </c>
      <c r="F32" s="8" t="str">
        <f t="shared" si="0"/>
        <v/>
      </c>
      <c r="G32" s="59" t="str">
        <f>IFERROR(IF(G31+$H$5&gt;$H$3+$H$5,"",G31+$H$5),"")</f>
        <v/>
      </c>
      <c r="H32" s="9" t="e">
        <v>#N/A</v>
      </c>
      <c r="I32" s="13" t="str">
        <f>IF(F32&lt;&gt;"",H32/$H$6,"")</f>
        <v/>
      </c>
      <c r="J32" s="28" t="str">
        <f t="shared" si="1"/>
        <v/>
      </c>
      <c r="V32" s="14"/>
    </row>
    <row r="33" spans="1:22" x14ac:dyDescent="0.2">
      <c r="A33" s="57">
        <v>42184</v>
      </c>
      <c r="B33" s="20">
        <v>10864.820312</v>
      </c>
      <c r="C33" s="61">
        <f>(tblDataTotal6789[[#This Row],[Côte]]-B32)/B32</f>
        <v>-1.5895320406309914E-2</v>
      </c>
      <c r="F33" s="8" t="str">
        <f t="shared" si="0"/>
        <v/>
      </c>
      <c r="G33" s="59" t="str">
        <f>IFERROR(IF(G32+$H$5&gt;$H$3+$H$5,"",G32+$H$5),"")</f>
        <v/>
      </c>
      <c r="H33" s="9" t="e">
        <v>#N/A</v>
      </c>
      <c r="I33" s="13" t="str">
        <f>IF(F33&lt;&gt;"",H33/$H$6,"")</f>
        <v/>
      </c>
      <c r="J33" s="28" t="str">
        <f t="shared" si="1"/>
        <v/>
      </c>
      <c r="V33" s="14"/>
    </row>
    <row r="34" spans="1:22" x14ac:dyDescent="0.2">
      <c r="A34" s="57">
        <v>42191</v>
      </c>
      <c r="B34" s="20">
        <v>10853.919921999999</v>
      </c>
      <c r="C34" s="61">
        <f>(tblDataTotal6789[[#This Row],[Côte]]-B33)/B33</f>
        <v>-1.0032738404298701E-3</v>
      </c>
      <c r="F34" s="8" t="str">
        <f t="shared" si="0"/>
        <v/>
      </c>
      <c r="G34" s="59" t="str">
        <f>IFERROR(IF(G33+$H$5&gt;$H$3+$H$5,"",G33+$H$5),"")</f>
        <v/>
      </c>
      <c r="H34" s="9" t="e">
        <v>#N/A</v>
      </c>
      <c r="I34" s="13" t="str">
        <f>IF(F34&lt;&gt;"",H34/$H$6,"")</f>
        <v/>
      </c>
      <c r="J34" s="28" t="str">
        <f t="shared" si="1"/>
        <v/>
      </c>
    </row>
    <row r="35" spans="1:22" x14ac:dyDescent="0.2">
      <c r="A35" s="57">
        <v>42198</v>
      </c>
      <c r="B35" s="20">
        <v>10987.169921999999</v>
      </c>
      <c r="C35" s="61">
        <f>(tblDataTotal6789[[#This Row],[Côte]]-B34)/B34</f>
        <v>1.2276670636745094E-2</v>
      </c>
      <c r="F35" s="8" t="str">
        <f t="shared" si="0"/>
        <v/>
      </c>
      <c r="G35" s="59" t="str">
        <f>IFERROR(IF(G34+$H$5&gt;$H$3+$H$5,"",G34+$H$5),"")</f>
        <v/>
      </c>
      <c r="H35" s="9" t="e">
        <v>#N/A</v>
      </c>
      <c r="I35" s="13" t="str">
        <f>IF(F35&lt;&gt;"",H35/$H$6,"")</f>
        <v/>
      </c>
      <c r="J35" s="28" t="str">
        <f t="shared" si="1"/>
        <v/>
      </c>
    </row>
    <row r="36" spans="1:22" x14ac:dyDescent="0.2">
      <c r="A36" s="57">
        <v>42205</v>
      </c>
      <c r="B36" s="20">
        <v>10721.950194999999</v>
      </c>
      <c r="C36" s="61">
        <f>(tblDataTotal6789[[#This Row],[Côte]]-B35)/B35</f>
        <v>-2.4139039341599774E-2</v>
      </c>
      <c r="F36" s="8" t="str">
        <f t="shared" si="0"/>
        <v/>
      </c>
      <c r="G36" s="59" t="str">
        <f>IFERROR(IF(G35+$H$5&gt;$H$3+$H$5,"",G35+$H$5),"")</f>
        <v/>
      </c>
      <c r="H36" s="9" t="e">
        <v>#N/A</v>
      </c>
      <c r="I36" s="13" t="str">
        <f>IF(F36&lt;&gt;"",H36/$H$6,"")</f>
        <v/>
      </c>
      <c r="J36" s="28" t="str">
        <f t="shared" si="1"/>
        <v/>
      </c>
    </row>
    <row r="37" spans="1:22" x14ac:dyDescent="0.2">
      <c r="A37" s="57">
        <v>42212</v>
      </c>
      <c r="B37" s="20">
        <v>10882.280273</v>
      </c>
      <c r="C37" s="61">
        <f>(tblDataTotal6789[[#This Row],[Côte]]-B36)/B36</f>
        <v>1.4953443644493712E-2</v>
      </c>
      <c r="F37" s="8" t="str">
        <f t="shared" si="0"/>
        <v/>
      </c>
      <c r="G37" s="59" t="str">
        <f>IFERROR(IF(G36+$H$5&gt;$H$3+$H$5,"",G36+$H$5),"")</f>
        <v/>
      </c>
      <c r="H37" s="9" t="e">
        <v>#N/A</v>
      </c>
      <c r="I37" s="13" t="str">
        <f>IF(F37&lt;&gt;"",H37/$H$6,"")</f>
        <v/>
      </c>
      <c r="J37" s="28" t="str">
        <f t="shared" si="1"/>
        <v/>
      </c>
    </row>
    <row r="38" spans="1:22" x14ac:dyDescent="0.2">
      <c r="A38" s="57">
        <v>42219</v>
      </c>
      <c r="B38" s="20">
        <v>10763.150390999999</v>
      </c>
      <c r="C38" s="61">
        <f>(tblDataTotal6789[[#This Row],[Côte]]-B37)/B37</f>
        <v>-1.0947143338659817E-2</v>
      </c>
      <c r="F38" s="8" t="str">
        <f t="shared" si="0"/>
        <v/>
      </c>
      <c r="G38" s="59" t="str">
        <f>IFERROR(IF(G37+$H$5&gt;$H$3+$H$5,"",G37+$H$5),"")</f>
        <v/>
      </c>
      <c r="H38" s="9" t="e">
        <v>#N/A</v>
      </c>
      <c r="I38" s="13" t="str">
        <f>IF(F38&lt;&gt;"",H38/$H$6,"")</f>
        <v/>
      </c>
      <c r="J38" s="28" t="str">
        <f t="shared" si="1"/>
        <v/>
      </c>
    </row>
    <row r="39" spans="1:22" x14ac:dyDescent="0.2">
      <c r="A39" s="57">
        <v>42226</v>
      </c>
      <c r="B39" s="20">
        <v>10782.240234000001</v>
      </c>
      <c r="C39" s="61">
        <f>(tblDataTotal6789[[#This Row],[Côte]]-B38)/B38</f>
        <v>1.7736296815070273E-3</v>
      </c>
      <c r="F39" s="8" t="str">
        <f t="shared" si="0"/>
        <v/>
      </c>
      <c r="G39" s="59" t="str">
        <f>IFERROR(IF(G38+$H$5&gt;$H$3+$H$5,"",G38+$H$5),"")</f>
        <v/>
      </c>
      <c r="H39" s="9" t="e">
        <v>#N/A</v>
      </c>
      <c r="I39" s="13" t="str">
        <f>IF(F39&lt;&gt;"",H39/$H$6,"")</f>
        <v/>
      </c>
      <c r="J39" s="28" t="str">
        <f t="shared" si="1"/>
        <v/>
      </c>
    </row>
    <row r="40" spans="1:22" x14ac:dyDescent="0.2">
      <c r="A40" s="57">
        <v>42233</v>
      </c>
      <c r="B40" s="20">
        <v>10195.690430000001</v>
      </c>
      <c r="C40" s="61">
        <f>(tblDataTotal6789[[#This Row],[Côte]]-B39)/B39</f>
        <v>-5.4399623016227465E-2</v>
      </c>
      <c r="F40" s="10" t="str">
        <f t="shared" si="0"/>
        <v/>
      </c>
      <c r="G40" s="60" t="str">
        <f>IFERROR(IF(G39+$H$5&gt;$H$3+$H$5,"",G39+$H$5),"")</f>
        <v/>
      </c>
      <c r="H40" s="11" t="e">
        <v>#N/A</v>
      </c>
      <c r="I40" s="29" t="str">
        <f>IF(F40&lt;&gt;"",H40/$H$6,"")</f>
        <v/>
      </c>
      <c r="J40" s="30" t="str">
        <f t="shared" si="1"/>
        <v/>
      </c>
    </row>
    <row r="41" spans="1:22" x14ac:dyDescent="0.2">
      <c r="A41" s="57">
        <v>42240</v>
      </c>
      <c r="B41" s="20">
        <v>10242.059569999999</v>
      </c>
      <c r="C41" s="61">
        <f>(tblDataTotal6789[[#This Row],[Côte]]-B40)/B40</f>
        <v>4.5479156432173939E-3</v>
      </c>
    </row>
    <row r="42" spans="1:22" x14ac:dyDescent="0.2">
      <c r="A42" s="57">
        <v>42247</v>
      </c>
      <c r="B42" s="20">
        <v>9871.8603519999997</v>
      </c>
      <c r="C42" s="61">
        <f>(tblDataTotal6789[[#This Row],[Côte]]-B41)/B41</f>
        <v>-3.6144997543692256E-2</v>
      </c>
    </row>
    <row r="43" spans="1:22" x14ac:dyDescent="0.2">
      <c r="A43" s="57">
        <v>42255</v>
      </c>
      <c r="B43" s="20">
        <v>10040.219727</v>
      </c>
      <c r="C43" s="61">
        <f>(tblDataTotal6789[[#This Row],[Côte]]-B42)/B42</f>
        <v>1.7054472915623353E-2</v>
      </c>
    </row>
    <row r="44" spans="1:22" x14ac:dyDescent="0.2">
      <c r="A44" s="57">
        <v>42261</v>
      </c>
      <c r="B44" s="20">
        <v>10031.599609000001</v>
      </c>
      <c r="C44" s="61">
        <f>(tblDataTotal6789[[#This Row],[Côte]]-B43)/B43</f>
        <v>-8.58558700345753E-4</v>
      </c>
    </row>
    <row r="45" spans="1:22" x14ac:dyDescent="0.2">
      <c r="A45" s="57">
        <v>42268</v>
      </c>
      <c r="B45" s="20">
        <v>9857.2597659999992</v>
      </c>
      <c r="C45" s="61">
        <f>(tblDataTotal6789[[#This Row],[Côte]]-B44)/B44</f>
        <v>-1.73790671273991E-2</v>
      </c>
    </row>
    <row r="46" spans="1:22" x14ac:dyDescent="0.2">
      <c r="A46" s="57">
        <v>42275</v>
      </c>
      <c r="B46" s="20">
        <v>9973.5595699999994</v>
      </c>
      <c r="C46" s="61">
        <f>(tblDataTotal6789[[#This Row],[Côte]]-B45)/B45</f>
        <v>1.179839090790176E-2</v>
      </c>
    </row>
    <row r="47" spans="1:22" x14ac:dyDescent="0.2">
      <c r="A47" s="57">
        <v>42282</v>
      </c>
      <c r="B47" s="20">
        <v>10361.259765999999</v>
      </c>
      <c r="C47" s="61">
        <f>(tblDataTotal6789[[#This Row],[Côte]]-B46)/B46</f>
        <v>3.8872800957261422E-2</v>
      </c>
    </row>
    <row r="48" spans="1:22" x14ac:dyDescent="0.2">
      <c r="A48" s="57">
        <v>42289</v>
      </c>
      <c r="B48" s="20">
        <v>10421.910156</v>
      </c>
      <c r="C48" s="61">
        <f>(tblDataTotal6789[[#This Row],[Côte]]-B47)/B47</f>
        <v>5.8535729602130215E-3</v>
      </c>
    </row>
    <row r="49" spans="1:3" x14ac:dyDescent="0.2">
      <c r="A49" s="57">
        <v>42296</v>
      </c>
      <c r="B49" s="20">
        <v>10506.509765999999</v>
      </c>
      <c r="C49" s="61">
        <f>(tblDataTotal6789[[#This Row],[Côte]]-B48)/B48</f>
        <v>8.1174764254990667E-3</v>
      </c>
    </row>
    <row r="50" spans="1:3" x14ac:dyDescent="0.2">
      <c r="A50" s="57">
        <v>42303</v>
      </c>
      <c r="B50" s="20">
        <v>10460.959961</v>
      </c>
      <c r="C50" s="61">
        <f>(tblDataTotal6789[[#This Row],[Côte]]-B49)/B49</f>
        <v>-4.3353888222140112E-3</v>
      </c>
    </row>
    <row r="51" spans="1:3" x14ac:dyDescent="0.2">
      <c r="A51" s="57">
        <v>42310</v>
      </c>
      <c r="B51" s="20">
        <v>10513.360352</v>
      </c>
      <c r="C51" s="61">
        <f>(tblDataTotal6789[[#This Row],[Côte]]-B50)/B50</f>
        <v>5.0091378989457558E-3</v>
      </c>
    </row>
    <row r="52" spans="1:3" x14ac:dyDescent="0.2">
      <c r="A52" s="57">
        <v>42317</v>
      </c>
      <c r="B52" s="20">
        <v>10155.070312</v>
      </c>
      <c r="C52" s="61">
        <f>(tblDataTotal6789[[#This Row],[Côte]]-B51)/B51</f>
        <v>-3.4079497706158327E-2</v>
      </c>
    </row>
    <row r="53" spans="1:3" x14ac:dyDescent="0.2">
      <c r="A53" s="57">
        <v>42324</v>
      </c>
      <c r="B53" s="20">
        <v>10444.200194999999</v>
      </c>
      <c r="C53" s="61">
        <f>(tblDataTotal6789[[#This Row],[Côte]]-B52)/B52</f>
        <v>2.847148016871354E-2</v>
      </c>
    </row>
    <row r="54" spans="1:3" ht="15" x14ac:dyDescent="0.2">
      <c r="A54" s="64">
        <v>42331</v>
      </c>
      <c r="B54" s="20">
        <v>10450.530273</v>
      </c>
      <c r="C54" s="61">
        <f>(tblDataTotal6789[[#This Row],[Côte]]-B53)/B53</f>
        <v>6.0608547153579979E-4</v>
      </c>
    </row>
    <row r="55" spans="1:3" ht="15" x14ac:dyDescent="0.2">
      <c r="A55" s="64"/>
      <c r="B55" s="20"/>
      <c r="C55" s="20"/>
    </row>
    <row r="56" spans="1:3" x14ac:dyDescent="0.2">
      <c r="A56" s="57"/>
      <c r="B56" s="57"/>
    </row>
    <row r="57" spans="1:3" x14ac:dyDescent="0.2">
      <c r="A57" s="57"/>
      <c r="B57" s="57"/>
    </row>
    <row r="58" spans="1:3" x14ac:dyDescent="0.2">
      <c r="A58" s="57"/>
      <c r="B58" s="57"/>
    </row>
    <row r="59" spans="1:3" x14ac:dyDescent="0.2">
      <c r="A59" s="57"/>
      <c r="B59" s="57"/>
    </row>
    <row r="60" spans="1:3" x14ac:dyDescent="0.2">
      <c r="A60" s="57"/>
      <c r="B60" s="57"/>
    </row>
    <row r="61" spans="1:3" x14ac:dyDescent="0.2">
      <c r="A61" s="57"/>
      <c r="B61" s="57"/>
    </row>
    <row r="62" spans="1:3" x14ac:dyDescent="0.2">
      <c r="A62" s="57"/>
      <c r="B62" s="57"/>
    </row>
    <row r="63" spans="1:3" x14ac:dyDescent="0.2">
      <c r="A63" s="57"/>
      <c r="B63" s="57"/>
    </row>
    <row r="64" spans="1:3" x14ac:dyDescent="0.2">
      <c r="A64" s="57"/>
      <c r="B64" s="57"/>
    </row>
    <row r="65" spans="1:2" x14ac:dyDescent="0.2">
      <c r="A65" s="57"/>
      <c r="B65" s="57"/>
    </row>
    <row r="66" spans="1:2" x14ac:dyDescent="0.2">
      <c r="A66" s="57"/>
      <c r="B66" s="57"/>
    </row>
    <row r="67" spans="1:2" x14ac:dyDescent="0.2">
      <c r="A67" s="57"/>
      <c r="B67" s="57"/>
    </row>
    <row r="68" spans="1:2" x14ac:dyDescent="0.2">
      <c r="A68" s="57"/>
      <c r="B68" s="57"/>
    </row>
    <row r="69" spans="1:2" x14ac:dyDescent="0.2">
      <c r="A69" s="57"/>
      <c r="B69" s="57"/>
    </row>
    <row r="70" spans="1:2" x14ac:dyDescent="0.2">
      <c r="A70" s="57"/>
      <c r="B70" s="57"/>
    </row>
    <row r="71" spans="1:2" x14ac:dyDescent="0.2">
      <c r="A71" s="57"/>
      <c r="B71" s="57"/>
    </row>
    <row r="72" spans="1:2" x14ac:dyDescent="0.2">
      <c r="A72" s="57"/>
      <c r="B72" s="57"/>
    </row>
    <row r="73" spans="1:2" x14ac:dyDescent="0.2">
      <c r="A73" s="57"/>
      <c r="B73" s="57"/>
    </row>
    <row r="74" spans="1:2" x14ac:dyDescent="0.2">
      <c r="A74" s="57"/>
      <c r="B74" s="57"/>
    </row>
    <row r="75" spans="1:2" x14ac:dyDescent="0.2">
      <c r="A75" s="57"/>
      <c r="B75" s="57"/>
    </row>
    <row r="76" spans="1:2" x14ac:dyDescent="0.2">
      <c r="A76" s="57"/>
      <c r="B76" s="57"/>
    </row>
    <row r="77" spans="1:2" x14ac:dyDescent="0.2">
      <c r="A77" s="57"/>
      <c r="B77" s="57"/>
    </row>
    <row r="78" spans="1:2" x14ac:dyDescent="0.2">
      <c r="A78" s="57"/>
      <c r="B78" s="57"/>
    </row>
    <row r="79" spans="1:2" x14ac:dyDescent="0.2">
      <c r="A79" s="57"/>
      <c r="B79" s="57"/>
    </row>
    <row r="80" spans="1:2" x14ac:dyDescent="0.2">
      <c r="A80" s="57"/>
      <c r="B80" s="57"/>
    </row>
    <row r="81" spans="1:2" x14ac:dyDescent="0.2">
      <c r="A81" s="57"/>
      <c r="B81" s="57"/>
    </row>
    <row r="82" spans="1:2" x14ac:dyDescent="0.2">
      <c r="A82" s="57"/>
      <c r="B82" s="57"/>
    </row>
    <row r="83" spans="1:2" x14ac:dyDescent="0.2">
      <c r="A83" s="57"/>
      <c r="B83" s="57"/>
    </row>
    <row r="84" spans="1:2" x14ac:dyDescent="0.2">
      <c r="A84" s="57"/>
      <c r="B84" s="57"/>
    </row>
    <row r="85" spans="1:2" x14ac:dyDescent="0.2">
      <c r="A85" s="57"/>
      <c r="B85" s="57"/>
    </row>
    <row r="86" spans="1:2" x14ac:dyDescent="0.2">
      <c r="A86" s="57"/>
      <c r="B86" s="57"/>
    </row>
    <row r="87" spans="1:2" x14ac:dyDescent="0.2">
      <c r="A87" s="57"/>
      <c r="B87" s="57"/>
    </row>
    <row r="88" spans="1:2" x14ac:dyDescent="0.2">
      <c r="A88" s="57"/>
      <c r="B88" s="57"/>
    </row>
    <row r="89" spans="1:2" x14ac:dyDescent="0.2">
      <c r="A89" s="57"/>
      <c r="B89" s="57"/>
    </row>
    <row r="90" spans="1:2" x14ac:dyDescent="0.2">
      <c r="A90" s="57"/>
      <c r="B90" s="57"/>
    </row>
    <row r="91" spans="1:2" x14ac:dyDescent="0.2">
      <c r="A91" s="57"/>
      <c r="B91" s="57"/>
    </row>
    <row r="92" spans="1:2" x14ac:dyDescent="0.2">
      <c r="A92" s="57"/>
      <c r="B92" s="57"/>
    </row>
    <row r="93" spans="1:2" x14ac:dyDescent="0.2">
      <c r="A93" s="57"/>
      <c r="B93" s="57"/>
    </row>
    <row r="94" spans="1:2" x14ac:dyDescent="0.2">
      <c r="A94" s="57"/>
      <c r="B94" s="57"/>
    </row>
    <row r="95" spans="1:2" x14ac:dyDescent="0.2">
      <c r="A95" s="57"/>
      <c r="B95" s="57"/>
    </row>
    <row r="96" spans="1:2" x14ac:dyDescent="0.2">
      <c r="A96" s="57"/>
      <c r="B96" s="57"/>
    </row>
    <row r="97" spans="1:2" x14ac:dyDescent="0.2">
      <c r="A97" s="57"/>
      <c r="B97" s="57"/>
    </row>
    <row r="98" spans="1:2" x14ac:dyDescent="0.2">
      <c r="A98" s="57"/>
      <c r="B98" s="57"/>
    </row>
    <row r="99" spans="1:2" x14ac:dyDescent="0.2">
      <c r="A99" s="57"/>
      <c r="B99" s="57"/>
    </row>
    <row r="100" spans="1:2" x14ac:dyDescent="0.2">
      <c r="A100" s="57"/>
      <c r="B100" s="57"/>
    </row>
    <row r="101" spans="1:2" x14ac:dyDescent="0.2">
      <c r="A101" s="57"/>
      <c r="B101" s="57"/>
    </row>
    <row r="102" spans="1:2" x14ac:dyDescent="0.2">
      <c r="A102" s="57"/>
      <c r="B102" s="57"/>
    </row>
    <row r="103" spans="1:2" x14ac:dyDescent="0.2">
      <c r="A103" s="57"/>
      <c r="B103" s="57"/>
    </row>
    <row r="104" spans="1:2" x14ac:dyDescent="0.2">
      <c r="A104" s="57"/>
      <c r="B104" s="57"/>
    </row>
    <row r="105" spans="1:2" x14ac:dyDescent="0.2">
      <c r="A105" s="57"/>
      <c r="B105" s="57"/>
    </row>
    <row r="106" spans="1:2" x14ac:dyDescent="0.2">
      <c r="A106" s="57"/>
      <c r="B106" s="57"/>
    </row>
    <row r="107" spans="1:2" x14ac:dyDescent="0.2">
      <c r="A107" s="57"/>
      <c r="B107" s="57"/>
    </row>
    <row r="108" spans="1:2" x14ac:dyDescent="0.2">
      <c r="A108" s="57"/>
      <c r="B108" s="57"/>
    </row>
    <row r="109" spans="1:2" x14ac:dyDescent="0.2">
      <c r="A109" s="57"/>
      <c r="B109" s="57"/>
    </row>
    <row r="110" spans="1:2" x14ac:dyDescent="0.2">
      <c r="A110" s="57"/>
      <c r="B110" s="57"/>
    </row>
    <row r="111" spans="1:2" x14ac:dyDescent="0.2">
      <c r="A111" s="57"/>
      <c r="B111" s="57"/>
    </row>
    <row r="112" spans="1:2" x14ac:dyDescent="0.2">
      <c r="A112" s="57"/>
      <c r="B112" s="57"/>
    </row>
    <row r="113" spans="1:2" x14ac:dyDescent="0.2">
      <c r="A113" s="57"/>
      <c r="B113" s="57"/>
    </row>
    <row r="114" spans="1:2" x14ac:dyDescent="0.2">
      <c r="A114" s="57"/>
      <c r="B114" s="57"/>
    </row>
    <row r="115" spans="1:2" x14ac:dyDescent="0.2">
      <c r="A115" s="57"/>
      <c r="B115" s="57"/>
    </row>
    <row r="116" spans="1:2" x14ac:dyDescent="0.2">
      <c r="A116" s="57"/>
      <c r="B116" s="57"/>
    </row>
    <row r="117" spans="1:2" x14ac:dyDescent="0.2">
      <c r="A117" s="57"/>
      <c r="B117" s="57"/>
    </row>
    <row r="118" spans="1:2" x14ac:dyDescent="0.2">
      <c r="A118" s="57"/>
      <c r="B118" s="57"/>
    </row>
    <row r="119" spans="1:2" x14ac:dyDescent="0.2">
      <c r="A119" s="57"/>
      <c r="B119" s="57"/>
    </row>
    <row r="120" spans="1:2" x14ac:dyDescent="0.2">
      <c r="A120" s="57"/>
      <c r="B120" s="57"/>
    </row>
    <row r="121" spans="1:2" x14ac:dyDescent="0.2">
      <c r="A121" s="57"/>
      <c r="B121" s="57"/>
    </row>
    <row r="122" spans="1:2" x14ac:dyDescent="0.2">
      <c r="A122" s="57"/>
      <c r="B122" s="57"/>
    </row>
    <row r="123" spans="1:2" x14ac:dyDescent="0.2">
      <c r="A123" s="57"/>
      <c r="B123" s="57"/>
    </row>
    <row r="124" spans="1:2" x14ac:dyDescent="0.2">
      <c r="A124" s="57"/>
      <c r="B124" s="57"/>
    </row>
    <row r="125" spans="1:2" x14ac:dyDescent="0.2">
      <c r="A125" s="57"/>
      <c r="B125" s="57"/>
    </row>
    <row r="126" spans="1:2" x14ac:dyDescent="0.2">
      <c r="A126" s="57"/>
      <c r="B126" s="57"/>
    </row>
    <row r="127" spans="1:2" x14ac:dyDescent="0.2">
      <c r="A127" s="57"/>
      <c r="B127" s="57"/>
    </row>
    <row r="128" spans="1:2" x14ac:dyDescent="0.2">
      <c r="A128" s="57"/>
      <c r="B128" s="57"/>
    </row>
    <row r="129" spans="1:2" x14ac:dyDescent="0.2">
      <c r="A129" s="57"/>
      <c r="B129" s="57"/>
    </row>
    <row r="130" spans="1:2" x14ac:dyDescent="0.2">
      <c r="A130" s="57"/>
      <c r="B130" s="57"/>
    </row>
    <row r="131" spans="1:2" x14ac:dyDescent="0.2">
      <c r="A131" s="57"/>
      <c r="B131" s="57"/>
    </row>
    <row r="132" spans="1:2" x14ac:dyDescent="0.2">
      <c r="A132" s="57"/>
      <c r="B132" s="57"/>
    </row>
    <row r="133" spans="1:2" x14ac:dyDescent="0.2">
      <c r="A133" s="57"/>
      <c r="B133" s="57"/>
    </row>
    <row r="134" spans="1:2" x14ac:dyDescent="0.2">
      <c r="A134" s="57"/>
      <c r="B134" s="57"/>
    </row>
    <row r="135" spans="1:2" x14ac:dyDescent="0.2">
      <c r="A135" s="57"/>
      <c r="B135" s="57"/>
    </row>
    <row r="136" spans="1:2" x14ac:dyDescent="0.2">
      <c r="A136" s="57"/>
      <c r="B136" s="57"/>
    </row>
    <row r="137" spans="1:2" x14ac:dyDescent="0.2">
      <c r="A137" s="57"/>
      <c r="B137" s="57"/>
    </row>
    <row r="138" spans="1:2" x14ac:dyDescent="0.2">
      <c r="A138" s="57"/>
      <c r="B138" s="57"/>
    </row>
    <row r="139" spans="1:2" x14ac:dyDescent="0.2">
      <c r="A139" s="57"/>
      <c r="B139" s="57"/>
    </row>
    <row r="140" spans="1:2" x14ac:dyDescent="0.2">
      <c r="A140" s="57"/>
      <c r="B140" s="57"/>
    </row>
    <row r="141" spans="1:2" x14ac:dyDescent="0.2">
      <c r="A141" s="57"/>
      <c r="B141" s="57"/>
    </row>
    <row r="142" spans="1:2" x14ac:dyDescent="0.2">
      <c r="A142" s="57"/>
      <c r="B142" s="57"/>
    </row>
    <row r="143" spans="1:2" x14ac:dyDescent="0.2">
      <c r="A143" s="57"/>
      <c r="B143" s="57"/>
    </row>
    <row r="144" spans="1:2" x14ac:dyDescent="0.2">
      <c r="A144" s="57"/>
      <c r="B144" s="57"/>
    </row>
    <row r="145" spans="1:2" x14ac:dyDescent="0.2">
      <c r="A145" s="57"/>
      <c r="B145" s="57"/>
    </row>
    <row r="146" spans="1:2" x14ac:dyDescent="0.2">
      <c r="A146" s="57"/>
      <c r="B146" s="57"/>
    </row>
    <row r="147" spans="1:2" x14ac:dyDescent="0.2">
      <c r="A147" s="57"/>
      <c r="B147" s="57"/>
    </row>
    <row r="148" spans="1:2" x14ac:dyDescent="0.2">
      <c r="A148" s="57"/>
      <c r="B148" s="57"/>
    </row>
    <row r="149" spans="1:2" x14ac:dyDescent="0.2">
      <c r="A149" s="57"/>
      <c r="B149" s="57"/>
    </row>
    <row r="150" spans="1:2" x14ac:dyDescent="0.2">
      <c r="A150" s="57"/>
      <c r="B150" s="57"/>
    </row>
    <row r="151" spans="1:2" x14ac:dyDescent="0.2">
      <c r="A151" s="57"/>
      <c r="B151" s="57"/>
    </row>
    <row r="152" spans="1:2" x14ac:dyDescent="0.2">
      <c r="A152" s="57"/>
      <c r="B152" s="57"/>
    </row>
    <row r="153" spans="1:2" x14ac:dyDescent="0.2">
      <c r="A153" s="57"/>
      <c r="B153" s="57"/>
    </row>
    <row r="154" spans="1:2" x14ac:dyDescent="0.2">
      <c r="A154" s="57"/>
      <c r="B154" s="57"/>
    </row>
    <row r="155" spans="1:2" x14ac:dyDescent="0.2">
      <c r="A155" s="57"/>
      <c r="B155" s="57"/>
    </row>
    <row r="156" spans="1:2" x14ac:dyDescent="0.2">
      <c r="A156" s="57"/>
      <c r="B156" s="57"/>
    </row>
    <row r="157" spans="1:2" x14ac:dyDescent="0.2">
      <c r="A157" s="57"/>
      <c r="B157" s="57"/>
    </row>
    <row r="158" spans="1:2" x14ac:dyDescent="0.2">
      <c r="A158" s="57"/>
      <c r="B158" s="57"/>
    </row>
    <row r="159" spans="1:2" x14ac:dyDescent="0.2">
      <c r="A159" s="57"/>
      <c r="B159" s="57"/>
    </row>
    <row r="160" spans="1:2" x14ac:dyDescent="0.2">
      <c r="A160" s="57"/>
      <c r="B160" s="57"/>
    </row>
    <row r="161" spans="1:2" x14ac:dyDescent="0.2">
      <c r="A161" s="57"/>
      <c r="B161" s="57"/>
    </row>
    <row r="162" spans="1:2" x14ac:dyDescent="0.2">
      <c r="A162" s="57"/>
      <c r="B162" s="57"/>
    </row>
    <row r="163" spans="1:2" x14ac:dyDescent="0.2">
      <c r="A163" s="57"/>
      <c r="B163" s="57"/>
    </row>
    <row r="164" spans="1:2" x14ac:dyDescent="0.2">
      <c r="A164" s="57"/>
      <c r="B164" s="57"/>
    </row>
    <row r="165" spans="1:2" x14ac:dyDescent="0.2">
      <c r="A165" s="57"/>
      <c r="B165" s="57"/>
    </row>
    <row r="166" spans="1:2" x14ac:dyDescent="0.2">
      <c r="A166" s="57"/>
      <c r="B166" s="57"/>
    </row>
    <row r="167" spans="1:2" x14ac:dyDescent="0.2">
      <c r="A167" s="57"/>
      <c r="B167" s="57"/>
    </row>
    <row r="168" spans="1:2" x14ac:dyDescent="0.2">
      <c r="A168" s="57"/>
      <c r="B168" s="57"/>
    </row>
    <row r="169" spans="1:2" x14ac:dyDescent="0.2">
      <c r="A169" s="57"/>
      <c r="B169" s="57"/>
    </row>
    <row r="170" spans="1:2" x14ac:dyDescent="0.2">
      <c r="A170" s="57"/>
      <c r="B170" s="57"/>
    </row>
    <row r="171" spans="1:2" x14ac:dyDescent="0.2">
      <c r="A171" s="57"/>
      <c r="B171" s="57"/>
    </row>
    <row r="172" spans="1:2" x14ac:dyDescent="0.2">
      <c r="A172" s="57"/>
      <c r="B172" s="57"/>
    </row>
    <row r="173" spans="1:2" x14ac:dyDescent="0.2">
      <c r="A173" s="57"/>
      <c r="B173" s="57"/>
    </row>
    <row r="174" spans="1:2" x14ac:dyDescent="0.2">
      <c r="A174" s="57"/>
      <c r="B174" s="57"/>
    </row>
    <row r="175" spans="1:2" x14ac:dyDescent="0.2">
      <c r="A175" s="57"/>
      <c r="B175" s="57"/>
    </row>
    <row r="176" spans="1:2" x14ac:dyDescent="0.2">
      <c r="A176" s="57"/>
      <c r="B176" s="57"/>
    </row>
    <row r="177" spans="1:2" x14ac:dyDescent="0.2">
      <c r="A177" s="57"/>
      <c r="B177" s="57"/>
    </row>
    <row r="178" spans="1:2" x14ac:dyDescent="0.2">
      <c r="A178" s="57"/>
      <c r="B178" s="57"/>
    </row>
    <row r="179" spans="1:2" x14ac:dyDescent="0.2">
      <c r="A179" s="57"/>
      <c r="B179" s="57"/>
    </row>
    <row r="180" spans="1:2" x14ac:dyDescent="0.2">
      <c r="A180" s="57"/>
      <c r="B180" s="57"/>
    </row>
    <row r="181" spans="1:2" x14ac:dyDescent="0.2">
      <c r="A181" s="57"/>
      <c r="B181" s="57"/>
    </row>
    <row r="182" spans="1:2" x14ac:dyDescent="0.2">
      <c r="A182" s="57"/>
      <c r="B182" s="57"/>
    </row>
    <row r="183" spans="1:2" x14ac:dyDescent="0.2">
      <c r="A183" s="57"/>
      <c r="B183" s="57"/>
    </row>
    <row r="184" spans="1:2" x14ac:dyDescent="0.2">
      <c r="A184" s="57"/>
      <c r="B184" s="57"/>
    </row>
    <row r="185" spans="1:2" x14ac:dyDescent="0.2">
      <c r="A185" s="57"/>
      <c r="B185" s="57"/>
    </row>
    <row r="186" spans="1:2" x14ac:dyDescent="0.2">
      <c r="A186" s="57"/>
      <c r="B186" s="57"/>
    </row>
    <row r="187" spans="1:2" x14ac:dyDescent="0.2">
      <c r="A187" s="57"/>
      <c r="B187" s="57"/>
    </row>
    <row r="188" spans="1:2" x14ac:dyDescent="0.2">
      <c r="A188" s="57"/>
      <c r="B188" s="57"/>
    </row>
    <row r="189" spans="1:2" x14ac:dyDescent="0.2">
      <c r="A189" s="57"/>
      <c r="B189" s="57"/>
    </row>
    <row r="190" spans="1:2" x14ac:dyDescent="0.2">
      <c r="A190" s="57"/>
      <c r="B190" s="57"/>
    </row>
    <row r="191" spans="1:2" x14ac:dyDescent="0.2">
      <c r="A191" s="57"/>
      <c r="B191" s="57"/>
    </row>
    <row r="192" spans="1:2" x14ac:dyDescent="0.2">
      <c r="A192" s="57"/>
      <c r="B192" s="57"/>
    </row>
    <row r="193" spans="1:2" x14ac:dyDescent="0.2">
      <c r="A193" s="57"/>
      <c r="B193" s="57"/>
    </row>
    <row r="194" spans="1:2" x14ac:dyDescent="0.2">
      <c r="A194" s="57"/>
      <c r="B194" s="57"/>
    </row>
    <row r="195" spans="1:2" x14ac:dyDescent="0.2">
      <c r="A195" s="57"/>
      <c r="B195" s="57"/>
    </row>
    <row r="196" spans="1:2" x14ac:dyDescent="0.2">
      <c r="A196" s="57"/>
      <c r="B196" s="57"/>
    </row>
    <row r="197" spans="1:2" x14ac:dyDescent="0.2">
      <c r="A197" s="57"/>
      <c r="B197" s="57"/>
    </row>
    <row r="198" spans="1:2" x14ac:dyDescent="0.2">
      <c r="A198" s="57"/>
      <c r="B198" s="57"/>
    </row>
    <row r="199" spans="1:2" x14ac:dyDescent="0.2">
      <c r="A199" s="57"/>
      <c r="B199" s="57"/>
    </row>
    <row r="200" spans="1:2" x14ac:dyDescent="0.2">
      <c r="A200" s="57"/>
      <c r="B200" s="57"/>
    </row>
    <row r="201" spans="1:2" x14ac:dyDescent="0.2">
      <c r="A201" s="57"/>
      <c r="B201" s="57"/>
    </row>
    <row r="202" spans="1:2" x14ac:dyDescent="0.2">
      <c r="A202" s="57"/>
      <c r="B202" s="57"/>
    </row>
    <row r="203" spans="1:2" x14ac:dyDescent="0.2">
      <c r="A203" s="57"/>
      <c r="B203" s="57"/>
    </row>
    <row r="204" spans="1:2" x14ac:dyDescent="0.2">
      <c r="A204" s="57"/>
      <c r="B204" s="57"/>
    </row>
    <row r="205" spans="1:2" x14ac:dyDescent="0.2">
      <c r="A205" s="57"/>
      <c r="B205" s="57"/>
    </row>
    <row r="206" spans="1:2" x14ac:dyDescent="0.2">
      <c r="A206" s="57"/>
      <c r="B206" s="57"/>
    </row>
    <row r="207" spans="1:2" x14ac:dyDescent="0.2">
      <c r="A207" s="57"/>
      <c r="B207" s="57"/>
    </row>
    <row r="208" spans="1:2" x14ac:dyDescent="0.2">
      <c r="A208" s="57"/>
      <c r="B208" s="57"/>
    </row>
    <row r="209" spans="1:2" x14ac:dyDescent="0.2">
      <c r="A209" s="57"/>
      <c r="B209" s="57"/>
    </row>
    <row r="210" spans="1:2" x14ac:dyDescent="0.2">
      <c r="A210" s="57"/>
      <c r="B210" s="57"/>
    </row>
    <row r="211" spans="1:2" x14ac:dyDescent="0.2">
      <c r="A211" s="57"/>
      <c r="B211" s="57"/>
    </row>
    <row r="212" spans="1:2" x14ac:dyDescent="0.2">
      <c r="A212" s="57"/>
      <c r="B212" s="57"/>
    </row>
    <row r="213" spans="1:2" x14ac:dyDescent="0.2">
      <c r="A213" s="57"/>
      <c r="B213" s="57"/>
    </row>
    <row r="214" spans="1:2" x14ac:dyDescent="0.2">
      <c r="A214" s="57"/>
      <c r="B214" s="57"/>
    </row>
    <row r="215" spans="1:2" x14ac:dyDescent="0.2">
      <c r="A215" s="57"/>
      <c r="B215" s="57"/>
    </row>
    <row r="216" spans="1:2" x14ac:dyDescent="0.2">
      <c r="A216" s="57"/>
      <c r="B216" s="57"/>
    </row>
    <row r="217" spans="1:2" x14ac:dyDescent="0.2">
      <c r="A217" s="57"/>
      <c r="B217" s="57"/>
    </row>
    <row r="218" spans="1:2" x14ac:dyDescent="0.2">
      <c r="A218" s="57"/>
      <c r="B218" s="57"/>
    </row>
    <row r="219" spans="1:2" x14ac:dyDescent="0.2">
      <c r="A219" s="57"/>
      <c r="B219" s="57"/>
    </row>
    <row r="220" spans="1:2" x14ac:dyDescent="0.2">
      <c r="A220" s="57"/>
      <c r="B220" s="57"/>
    </row>
    <row r="221" spans="1:2" x14ac:dyDescent="0.2">
      <c r="A221" s="57"/>
      <c r="B221" s="57"/>
    </row>
    <row r="222" spans="1:2" x14ac:dyDescent="0.2">
      <c r="A222" s="57"/>
      <c r="B222" s="57"/>
    </row>
    <row r="223" spans="1:2" x14ac:dyDescent="0.2">
      <c r="A223" s="57"/>
      <c r="B223" s="57"/>
    </row>
    <row r="224" spans="1:2" x14ac:dyDescent="0.2">
      <c r="A224" s="57"/>
      <c r="B224" s="57"/>
    </row>
    <row r="225" spans="1:2" x14ac:dyDescent="0.2">
      <c r="A225" s="57"/>
      <c r="B225" s="57"/>
    </row>
    <row r="226" spans="1:2" x14ac:dyDescent="0.2">
      <c r="A226" s="57"/>
      <c r="B226" s="57"/>
    </row>
    <row r="227" spans="1:2" x14ac:dyDescent="0.2">
      <c r="A227" s="57"/>
      <c r="B227" s="57"/>
    </row>
    <row r="228" spans="1:2" x14ac:dyDescent="0.2">
      <c r="A228" s="57"/>
      <c r="B228" s="57"/>
    </row>
    <row r="229" spans="1:2" x14ac:dyDescent="0.2">
      <c r="A229" s="57"/>
      <c r="B229" s="57"/>
    </row>
    <row r="230" spans="1:2" x14ac:dyDescent="0.2">
      <c r="A230" s="57"/>
      <c r="B230" s="57"/>
    </row>
    <row r="231" spans="1:2" x14ac:dyDescent="0.2">
      <c r="A231" s="57"/>
      <c r="B231" s="57"/>
    </row>
    <row r="232" spans="1:2" x14ac:dyDescent="0.2">
      <c r="A232" s="57"/>
      <c r="B232" s="57"/>
    </row>
    <row r="233" spans="1:2" x14ac:dyDescent="0.2">
      <c r="A233" s="57"/>
      <c r="B233" s="57"/>
    </row>
    <row r="234" spans="1:2" x14ac:dyDescent="0.2">
      <c r="A234" s="57"/>
      <c r="B234" s="57"/>
    </row>
    <row r="235" spans="1:2" x14ac:dyDescent="0.2">
      <c r="A235" s="57"/>
      <c r="B235" s="57"/>
    </row>
    <row r="236" spans="1:2" x14ac:dyDescent="0.2">
      <c r="A236" s="57"/>
      <c r="B236" s="57"/>
    </row>
    <row r="237" spans="1:2" x14ac:dyDescent="0.2">
      <c r="A237" s="57"/>
      <c r="B237" s="57"/>
    </row>
    <row r="238" spans="1:2" x14ac:dyDescent="0.2">
      <c r="A238" s="57"/>
      <c r="B238" s="57"/>
    </row>
    <row r="239" spans="1:2" x14ac:dyDescent="0.2">
      <c r="A239" s="57"/>
      <c r="B239" s="57"/>
    </row>
    <row r="240" spans="1:2" x14ac:dyDescent="0.2">
      <c r="A240" s="57"/>
      <c r="B240" s="57"/>
    </row>
    <row r="241" spans="1:2" x14ac:dyDescent="0.2">
      <c r="A241" s="57"/>
      <c r="B241" s="57"/>
    </row>
    <row r="242" spans="1:2" x14ac:dyDescent="0.2">
      <c r="A242" s="57"/>
      <c r="B242" s="57"/>
    </row>
    <row r="243" spans="1:2" x14ac:dyDescent="0.2">
      <c r="A243" s="57"/>
      <c r="B243" s="57"/>
    </row>
    <row r="244" spans="1:2" x14ac:dyDescent="0.2">
      <c r="A244" s="57"/>
      <c r="B244" s="57"/>
    </row>
    <row r="245" spans="1:2" x14ac:dyDescent="0.2">
      <c r="A245" s="57"/>
      <c r="B245" s="57"/>
    </row>
    <row r="246" spans="1:2" x14ac:dyDescent="0.2">
      <c r="A246" s="57"/>
      <c r="B246" s="57"/>
    </row>
    <row r="247" spans="1:2" x14ac:dyDescent="0.2">
      <c r="A247" s="57"/>
      <c r="B247" s="57"/>
    </row>
    <row r="248" spans="1:2" x14ac:dyDescent="0.2">
      <c r="A248" s="57"/>
      <c r="B248" s="57"/>
    </row>
    <row r="249" spans="1:2" x14ac:dyDescent="0.2">
      <c r="A249" s="57"/>
      <c r="B249" s="57"/>
    </row>
    <row r="250" spans="1:2" x14ac:dyDescent="0.2">
      <c r="A250" s="57"/>
      <c r="B250" s="57"/>
    </row>
    <row r="251" spans="1:2" x14ac:dyDescent="0.2">
      <c r="A251" s="57"/>
      <c r="B251" s="57"/>
    </row>
    <row r="252" spans="1:2" x14ac:dyDescent="0.2">
      <c r="A252" s="57"/>
      <c r="B252" s="57"/>
    </row>
    <row r="253" spans="1:2" x14ac:dyDescent="0.2">
      <c r="A253" s="57"/>
      <c r="B253" s="57"/>
    </row>
    <row r="254" spans="1:2" x14ac:dyDescent="0.2">
      <c r="A254" s="57"/>
      <c r="B254" s="57"/>
    </row>
    <row r="255" spans="1:2" x14ac:dyDescent="0.2">
      <c r="A255" s="57"/>
      <c r="B255" s="57"/>
    </row>
    <row r="256" spans="1:2" x14ac:dyDescent="0.2">
      <c r="A256" s="57"/>
      <c r="B256" s="57"/>
    </row>
    <row r="257" spans="1:2" x14ac:dyDescent="0.2">
      <c r="A257" s="57"/>
      <c r="B257" s="57"/>
    </row>
    <row r="258" spans="1:2" x14ac:dyDescent="0.2">
      <c r="A258" s="57"/>
      <c r="B258" s="57"/>
    </row>
    <row r="259" spans="1:2" x14ac:dyDescent="0.2">
      <c r="A259" s="57"/>
      <c r="B259" s="57"/>
    </row>
    <row r="260" spans="1:2" x14ac:dyDescent="0.2">
      <c r="A260" s="57"/>
      <c r="B260" s="57"/>
    </row>
    <row r="261" spans="1:2" x14ac:dyDescent="0.2">
      <c r="A261" s="57"/>
      <c r="B261" s="57"/>
    </row>
    <row r="262" spans="1:2" x14ac:dyDescent="0.2">
      <c r="A262" s="57"/>
      <c r="B262" s="57"/>
    </row>
    <row r="263" spans="1:2" x14ac:dyDescent="0.2">
      <c r="A263" s="57"/>
      <c r="B263" s="57"/>
    </row>
    <row r="264" spans="1:2" x14ac:dyDescent="0.2">
      <c r="A264" s="57"/>
      <c r="B264" s="57"/>
    </row>
    <row r="265" spans="1:2" x14ac:dyDescent="0.2">
      <c r="A265" s="57"/>
      <c r="B265" s="57"/>
    </row>
    <row r="266" spans="1:2" x14ac:dyDescent="0.2">
      <c r="A266" s="57"/>
      <c r="B266" s="57"/>
    </row>
    <row r="267" spans="1:2" x14ac:dyDescent="0.2">
      <c r="A267" s="57"/>
      <c r="B267" s="57"/>
    </row>
    <row r="268" spans="1:2" x14ac:dyDescent="0.2">
      <c r="A268" s="57"/>
      <c r="B268" s="57"/>
    </row>
    <row r="269" spans="1:2" x14ac:dyDescent="0.2">
      <c r="A269" s="57"/>
      <c r="B269" s="57"/>
    </row>
    <row r="270" spans="1:2" x14ac:dyDescent="0.2">
      <c r="A270" s="57"/>
      <c r="B270" s="57"/>
    </row>
    <row r="271" spans="1:2" x14ac:dyDescent="0.2">
      <c r="A271" s="57"/>
      <c r="B271" s="57"/>
    </row>
    <row r="272" spans="1:2" x14ac:dyDescent="0.2">
      <c r="A272" s="57"/>
      <c r="B272" s="57"/>
    </row>
    <row r="273" spans="1:2" x14ac:dyDescent="0.2">
      <c r="A273" s="57"/>
      <c r="B273" s="57"/>
    </row>
    <row r="274" spans="1:2" x14ac:dyDescent="0.2">
      <c r="A274" s="57"/>
      <c r="B274" s="57"/>
    </row>
    <row r="275" spans="1:2" x14ac:dyDescent="0.2">
      <c r="A275" s="57"/>
      <c r="B275" s="57"/>
    </row>
    <row r="276" spans="1:2" x14ac:dyDescent="0.2">
      <c r="A276" s="57"/>
      <c r="B276" s="57"/>
    </row>
    <row r="277" spans="1:2" x14ac:dyDescent="0.2">
      <c r="A277" s="57"/>
      <c r="B277" s="57"/>
    </row>
    <row r="278" spans="1:2" x14ac:dyDescent="0.2">
      <c r="A278" s="57"/>
      <c r="B278" s="57"/>
    </row>
    <row r="279" spans="1:2" x14ac:dyDescent="0.2">
      <c r="A279" s="57"/>
      <c r="B279" s="57"/>
    </row>
    <row r="280" spans="1:2" x14ac:dyDescent="0.2">
      <c r="A280" s="57"/>
      <c r="B280" s="57"/>
    </row>
    <row r="281" spans="1:2" x14ac:dyDescent="0.2">
      <c r="A281" s="57"/>
      <c r="B281" s="57"/>
    </row>
    <row r="282" spans="1:2" x14ac:dyDescent="0.2">
      <c r="A282" s="57"/>
      <c r="B282" s="57"/>
    </row>
    <row r="283" spans="1:2" x14ac:dyDescent="0.2">
      <c r="A283" s="57"/>
      <c r="B283" s="57"/>
    </row>
    <row r="284" spans="1:2" x14ac:dyDescent="0.2">
      <c r="A284" s="57"/>
      <c r="B284" s="57"/>
    </row>
    <row r="285" spans="1:2" x14ac:dyDescent="0.2">
      <c r="A285" s="57"/>
      <c r="B285" s="57"/>
    </row>
    <row r="286" spans="1:2" x14ac:dyDescent="0.2">
      <c r="A286" s="57"/>
      <c r="B286" s="57"/>
    </row>
    <row r="287" spans="1:2" x14ac:dyDescent="0.2">
      <c r="A287" s="57"/>
      <c r="B287" s="57"/>
    </row>
    <row r="288" spans="1:2" x14ac:dyDescent="0.2">
      <c r="A288" s="57"/>
      <c r="B288" s="57"/>
    </row>
    <row r="289" spans="1:2" x14ac:dyDescent="0.2">
      <c r="A289" s="57"/>
      <c r="B289" s="57"/>
    </row>
    <row r="290" spans="1:2" x14ac:dyDescent="0.2">
      <c r="A290" s="57"/>
      <c r="B290" s="57"/>
    </row>
    <row r="291" spans="1:2" x14ac:dyDescent="0.2">
      <c r="A291" s="57"/>
      <c r="B291" s="57"/>
    </row>
    <row r="292" spans="1:2" x14ac:dyDescent="0.2">
      <c r="A292" s="57"/>
      <c r="B292" s="57"/>
    </row>
    <row r="293" spans="1:2" x14ac:dyDescent="0.2">
      <c r="A293" s="57"/>
      <c r="B293" s="57"/>
    </row>
    <row r="294" spans="1:2" x14ac:dyDescent="0.2">
      <c r="A294" s="57"/>
      <c r="B294" s="57"/>
    </row>
    <row r="295" spans="1:2" x14ac:dyDescent="0.2">
      <c r="A295" s="57"/>
      <c r="B295" s="57"/>
    </row>
    <row r="296" spans="1:2" x14ac:dyDescent="0.2">
      <c r="A296" s="57"/>
      <c r="B296" s="57"/>
    </row>
    <row r="297" spans="1:2" x14ac:dyDescent="0.2">
      <c r="A297" s="57"/>
      <c r="B297" s="57"/>
    </row>
    <row r="298" spans="1:2" x14ac:dyDescent="0.2">
      <c r="A298" s="57"/>
      <c r="B298" s="57"/>
    </row>
    <row r="299" spans="1:2" x14ac:dyDescent="0.2">
      <c r="A299" s="57"/>
      <c r="B299" s="57"/>
    </row>
    <row r="300" spans="1:2" x14ac:dyDescent="0.2">
      <c r="A300" s="57"/>
      <c r="B300" s="57"/>
    </row>
    <row r="301" spans="1:2" x14ac:dyDescent="0.2">
      <c r="A301" s="57"/>
      <c r="B301" s="57"/>
    </row>
    <row r="302" spans="1:2" x14ac:dyDescent="0.2">
      <c r="A302" s="57"/>
      <c r="B302" s="57"/>
    </row>
    <row r="303" spans="1:2" x14ac:dyDescent="0.2">
      <c r="A303" s="57"/>
      <c r="B303" s="57"/>
    </row>
    <row r="304" spans="1:2" x14ac:dyDescent="0.2">
      <c r="A304" s="57"/>
      <c r="B304" s="57"/>
    </row>
    <row r="305" spans="1:2" x14ac:dyDescent="0.2">
      <c r="A305" s="57"/>
      <c r="B305" s="57"/>
    </row>
    <row r="306" spans="1:2" x14ac:dyDescent="0.2">
      <c r="A306" s="57"/>
      <c r="B306" s="57"/>
    </row>
    <row r="307" spans="1:2" x14ac:dyDescent="0.2">
      <c r="A307" s="57"/>
      <c r="B307" s="57"/>
    </row>
    <row r="308" spans="1:2" x14ac:dyDescent="0.2">
      <c r="A308" s="57"/>
      <c r="B308" s="57"/>
    </row>
    <row r="309" spans="1:2" x14ac:dyDescent="0.2">
      <c r="A309" s="57"/>
      <c r="B309" s="57"/>
    </row>
    <row r="310" spans="1:2" x14ac:dyDescent="0.2">
      <c r="A310" s="57"/>
      <c r="B310" s="57"/>
    </row>
    <row r="311" spans="1:2" x14ac:dyDescent="0.2">
      <c r="A311" s="57"/>
      <c r="B311" s="57"/>
    </row>
    <row r="312" spans="1:2" x14ac:dyDescent="0.2">
      <c r="A312" s="57"/>
      <c r="B312" s="57"/>
    </row>
    <row r="313" spans="1:2" x14ac:dyDescent="0.2">
      <c r="A313" s="57"/>
      <c r="B313" s="57"/>
    </row>
    <row r="314" spans="1:2" x14ac:dyDescent="0.2">
      <c r="A314" s="57"/>
      <c r="B314" s="57"/>
    </row>
    <row r="315" spans="1:2" x14ac:dyDescent="0.2">
      <c r="A315" s="57"/>
      <c r="B315" s="57"/>
    </row>
    <row r="316" spans="1:2" x14ac:dyDescent="0.2">
      <c r="A316" s="57"/>
      <c r="B316" s="57"/>
    </row>
    <row r="317" spans="1:2" x14ac:dyDescent="0.2">
      <c r="A317" s="57"/>
      <c r="B317" s="57"/>
    </row>
    <row r="318" spans="1:2" x14ac:dyDescent="0.2">
      <c r="A318" s="57"/>
      <c r="B318" s="57"/>
    </row>
    <row r="319" spans="1:2" x14ac:dyDescent="0.2">
      <c r="A319" s="57"/>
      <c r="B319" s="57"/>
    </row>
    <row r="320" spans="1:2" x14ac:dyDescent="0.2">
      <c r="A320" s="57"/>
      <c r="B320" s="57"/>
    </row>
    <row r="321" spans="1:2" x14ac:dyDescent="0.2">
      <c r="A321" s="57"/>
      <c r="B321" s="57"/>
    </row>
    <row r="322" spans="1:2" x14ac:dyDescent="0.2">
      <c r="A322" s="57"/>
      <c r="B322" s="57"/>
    </row>
    <row r="323" spans="1:2" x14ac:dyDescent="0.2">
      <c r="A323" s="57"/>
      <c r="B323" s="57"/>
    </row>
    <row r="324" spans="1:2" x14ac:dyDescent="0.2">
      <c r="A324" s="57"/>
      <c r="B324" s="57"/>
    </row>
    <row r="325" spans="1:2" x14ac:dyDescent="0.2">
      <c r="A325" s="57"/>
      <c r="B325" s="57"/>
    </row>
    <row r="326" spans="1:2" x14ac:dyDescent="0.2">
      <c r="A326" s="57"/>
      <c r="B326" s="57"/>
    </row>
    <row r="327" spans="1:2" x14ac:dyDescent="0.2">
      <c r="A327" s="57"/>
      <c r="B327" s="57"/>
    </row>
    <row r="328" spans="1:2" x14ac:dyDescent="0.2">
      <c r="A328" s="57"/>
      <c r="B328" s="57"/>
    </row>
    <row r="329" spans="1:2" x14ac:dyDescent="0.2">
      <c r="A329" s="57"/>
      <c r="B329" s="57"/>
    </row>
    <row r="330" spans="1:2" x14ac:dyDescent="0.2">
      <c r="A330" s="57"/>
      <c r="B330" s="57"/>
    </row>
    <row r="331" spans="1:2" x14ac:dyDescent="0.2">
      <c r="A331" s="57"/>
      <c r="B331" s="57"/>
    </row>
    <row r="332" spans="1:2" x14ac:dyDescent="0.2">
      <c r="A332" s="57"/>
      <c r="B332" s="57"/>
    </row>
    <row r="333" spans="1:2" x14ac:dyDescent="0.2">
      <c r="A333" s="57"/>
      <c r="B333" s="57"/>
    </row>
    <row r="334" spans="1:2" x14ac:dyDescent="0.2">
      <c r="A334" s="57"/>
      <c r="B334" s="57"/>
    </row>
    <row r="335" spans="1:2" x14ac:dyDescent="0.2">
      <c r="A335" s="57"/>
      <c r="B335" s="57"/>
    </row>
    <row r="336" spans="1:2" x14ac:dyDescent="0.2">
      <c r="A336" s="57"/>
      <c r="B336" s="57"/>
    </row>
    <row r="337" spans="1:2" x14ac:dyDescent="0.2">
      <c r="A337" s="57"/>
      <c r="B337" s="57"/>
    </row>
    <row r="338" spans="1:2" x14ac:dyDescent="0.2">
      <c r="A338" s="57"/>
      <c r="B338" s="57"/>
    </row>
    <row r="339" spans="1:2" x14ac:dyDescent="0.2">
      <c r="A339" s="57"/>
      <c r="B339" s="57"/>
    </row>
    <row r="340" spans="1:2" x14ac:dyDescent="0.2">
      <c r="A340" s="57"/>
      <c r="B340" s="57"/>
    </row>
    <row r="341" spans="1:2" x14ac:dyDescent="0.2">
      <c r="A341" s="57"/>
      <c r="B341" s="57"/>
    </row>
    <row r="342" spans="1:2" x14ac:dyDescent="0.2">
      <c r="A342" s="57"/>
      <c r="B342" s="57"/>
    </row>
    <row r="343" spans="1:2" x14ac:dyDescent="0.2">
      <c r="A343" s="57"/>
      <c r="B343" s="57"/>
    </row>
    <row r="344" spans="1:2" x14ac:dyDescent="0.2">
      <c r="A344" s="57"/>
      <c r="B344" s="57"/>
    </row>
    <row r="345" spans="1:2" x14ac:dyDescent="0.2">
      <c r="A345" s="57"/>
      <c r="B345" s="57"/>
    </row>
    <row r="346" spans="1:2" x14ac:dyDescent="0.2">
      <c r="A346" s="57"/>
      <c r="B346" s="57"/>
    </row>
    <row r="347" spans="1:2" x14ac:dyDescent="0.2">
      <c r="A347" s="57"/>
      <c r="B347" s="57"/>
    </row>
    <row r="348" spans="1:2" x14ac:dyDescent="0.2">
      <c r="A348" s="57"/>
      <c r="B348" s="57"/>
    </row>
    <row r="349" spans="1:2" x14ac:dyDescent="0.2">
      <c r="A349" s="57"/>
      <c r="B349" s="57"/>
    </row>
    <row r="350" spans="1:2" x14ac:dyDescent="0.2">
      <c r="A350" s="57"/>
      <c r="B350" s="57"/>
    </row>
    <row r="351" spans="1:2" x14ac:dyDescent="0.2">
      <c r="A351" s="57"/>
      <c r="B351" s="57"/>
    </row>
    <row r="352" spans="1:2" x14ac:dyDescent="0.2">
      <c r="A352" s="57"/>
      <c r="B352" s="57"/>
    </row>
    <row r="353" spans="1:2" x14ac:dyDescent="0.2">
      <c r="A353" s="57"/>
      <c r="B353" s="57"/>
    </row>
    <row r="354" spans="1:2" x14ac:dyDescent="0.2">
      <c r="A354" s="57"/>
      <c r="B354" s="57"/>
    </row>
    <row r="355" spans="1:2" x14ac:dyDescent="0.2">
      <c r="A355" s="57"/>
      <c r="B355" s="57"/>
    </row>
    <row r="356" spans="1:2" x14ac:dyDescent="0.2">
      <c r="A356" s="57"/>
      <c r="B356" s="57"/>
    </row>
    <row r="357" spans="1:2" x14ac:dyDescent="0.2">
      <c r="A357" s="57"/>
      <c r="B357" s="57"/>
    </row>
    <row r="358" spans="1:2" x14ac:dyDescent="0.2">
      <c r="A358" s="57"/>
      <c r="B358" s="57"/>
    </row>
    <row r="359" spans="1:2" x14ac:dyDescent="0.2">
      <c r="A359" s="57"/>
      <c r="B359" s="57"/>
    </row>
    <row r="360" spans="1:2" x14ac:dyDescent="0.2">
      <c r="A360" s="57"/>
      <c r="B360" s="57"/>
    </row>
    <row r="361" spans="1:2" x14ac:dyDescent="0.2">
      <c r="A361" s="57"/>
      <c r="B361" s="57"/>
    </row>
    <row r="362" spans="1:2" x14ac:dyDescent="0.2">
      <c r="A362" s="57"/>
      <c r="B362" s="57"/>
    </row>
    <row r="363" spans="1:2" x14ac:dyDescent="0.2">
      <c r="A363" s="57"/>
      <c r="B363" s="57"/>
    </row>
    <row r="364" spans="1:2" x14ac:dyDescent="0.2">
      <c r="A364" s="57"/>
      <c r="B364" s="57"/>
    </row>
    <row r="365" spans="1:2" x14ac:dyDescent="0.2">
      <c r="A365" s="57"/>
      <c r="B365" s="57"/>
    </row>
    <row r="366" spans="1:2" x14ac:dyDescent="0.2">
      <c r="A366" s="57"/>
      <c r="B366" s="57"/>
    </row>
    <row r="367" spans="1:2" x14ac:dyDescent="0.2">
      <c r="A367" s="57"/>
      <c r="B367" s="57"/>
    </row>
    <row r="368" spans="1:2" x14ac:dyDescent="0.2">
      <c r="A368" s="57"/>
      <c r="B368" s="57"/>
    </row>
    <row r="369" spans="1:2" x14ac:dyDescent="0.2">
      <c r="A369" s="57"/>
      <c r="B369" s="57"/>
    </row>
    <row r="370" spans="1:2" x14ac:dyDescent="0.2">
      <c r="A370" s="57"/>
      <c r="B370" s="57"/>
    </row>
    <row r="371" spans="1:2" x14ac:dyDescent="0.2">
      <c r="A371" s="57"/>
      <c r="B371" s="57"/>
    </row>
    <row r="372" spans="1:2" x14ac:dyDescent="0.2">
      <c r="A372" s="57"/>
      <c r="B372" s="57"/>
    </row>
    <row r="373" spans="1:2" x14ac:dyDescent="0.2">
      <c r="A373" s="57"/>
      <c r="B373" s="57"/>
    </row>
    <row r="374" spans="1:2" x14ac:dyDescent="0.2">
      <c r="A374" s="57"/>
      <c r="B374" s="57"/>
    </row>
    <row r="375" spans="1:2" x14ac:dyDescent="0.2">
      <c r="A375" s="57"/>
      <c r="B375" s="57"/>
    </row>
    <row r="376" spans="1:2" x14ac:dyDescent="0.2">
      <c r="A376" s="57"/>
      <c r="B376" s="57"/>
    </row>
    <row r="377" spans="1:2" x14ac:dyDescent="0.2">
      <c r="A377" s="57"/>
      <c r="B377" s="57"/>
    </row>
    <row r="378" spans="1:2" x14ac:dyDescent="0.2">
      <c r="A378" s="57"/>
      <c r="B378" s="57"/>
    </row>
    <row r="379" spans="1:2" x14ac:dyDescent="0.2">
      <c r="A379" s="57"/>
      <c r="B379" s="57"/>
    </row>
    <row r="380" spans="1:2" x14ac:dyDescent="0.2">
      <c r="A380" s="57"/>
      <c r="B380" s="57"/>
    </row>
    <row r="381" spans="1:2" x14ac:dyDescent="0.2">
      <c r="A381" s="57"/>
      <c r="B381" s="57"/>
    </row>
    <row r="382" spans="1:2" x14ac:dyDescent="0.2">
      <c r="A382" s="57"/>
      <c r="B382" s="57"/>
    </row>
    <row r="383" spans="1:2" x14ac:dyDescent="0.2">
      <c r="A383" s="57"/>
      <c r="B383" s="57"/>
    </row>
    <row r="384" spans="1:2" x14ac:dyDescent="0.2">
      <c r="A384" s="57"/>
      <c r="B384" s="57"/>
    </row>
    <row r="385" spans="1:2" x14ac:dyDescent="0.2">
      <c r="A385" s="57"/>
      <c r="B385" s="57"/>
    </row>
    <row r="386" spans="1:2" x14ac:dyDescent="0.2">
      <c r="A386" s="57"/>
      <c r="B386" s="57"/>
    </row>
    <row r="387" spans="1:2" x14ac:dyDescent="0.2">
      <c r="A387" s="57"/>
      <c r="B387" s="57"/>
    </row>
    <row r="388" spans="1:2" x14ac:dyDescent="0.2">
      <c r="A388" s="57"/>
      <c r="B388" s="57"/>
    </row>
    <row r="389" spans="1:2" x14ac:dyDescent="0.2">
      <c r="A389" s="57"/>
      <c r="B389" s="57"/>
    </row>
    <row r="390" spans="1:2" x14ac:dyDescent="0.2">
      <c r="A390" s="57"/>
      <c r="B390" s="57"/>
    </row>
    <row r="391" spans="1:2" x14ac:dyDescent="0.2">
      <c r="A391" s="57"/>
      <c r="B391" s="57"/>
    </row>
    <row r="392" spans="1:2" x14ac:dyDescent="0.2">
      <c r="A392" s="57"/>
      <c r="B392" s="57"/>
    </row>
    <row r="393" spans="1:2" x14ac:dyDescent="0.2">
      <c r="A393" s="57"/>
      <c r="B393" s="57"/>
    </row>
    <row r="394" spans="1:2" x14ac:dyDescent="0.2">
      <c r="A394" s="57"/>
      <c r="B394" s="57"/>
    </row>
    <row r="395" spans="1:2" x14ac:dyDescent="0.2">
      <c r="A395" s="57"/>
      <c r="B395" s="57"/>
    </row>
    <row r="396" spans="1:2" x14ac:dyDescent="0.2">
      <c r="A396" s="57"/>
      <c r="B396" s="57"/>
    </row>
    <row r="397" spans="1:2" x14ac:dyDescent="0.2">
      <c r="A397" s="57"/>
      <c r="B397" s="57"/>
    </row>
    <row r="398" spans="1:2" x14ac:dyDescent="0.2">
      <c r="A398" s="57"/>
      <c r="B398" s="57"/>
    </row>
    <row r="399" spans="1:2" x14ac:dyDescent="0.2">
      <c r="A399" s="57"/>
      <c r="B399" s="57"/>
    </row>
    <row r="400" spans="1:2" x14ac:dyDescent="0.2">
      <c r="A400" s="57"/>
      <c r="B400" s="57"/>
    </row>
    <row r="401" spans="1:2" x14ac:dyDescent="0.2">
      <c r="A401" s="57"/>
      <c r="B401" s="57"/>
    </row>
    <row r="402" spans="1:2" x14ac:dyDescent="0.2">
      <c r="A402" s="57"/>
      <c r="B402" s="57"/>
    </row>
    <row r="403" spans="1:2" x14ac:dyDescent="0.2">
      <c r="A403" s="57"/>
      <c r="B403" s="57"/>
    </row>
    <row r="404" spans="1:2" x14ac:dyDescent="0.2">
      <c r="A404" s="57"/>
      <c r="B404" s="57"/>
    </row>
    <row r="405" spans="1:2" x14ac:dyDescent="0.2">
      <c r="A405" s="57"/>
      <c r="B405" s="57"/>
    </row>
    <row r="406" spans="1:2" x14ac:dyDescent="0.2">
      <c r="A406" s="57"/>
      <c r="B406" s="57"/>
    </row>
    <row r="407" spans="1:2" x14ac:dyDescent="0.2">
      <c r="A407" s="57"/>
      <c r="B407" s="57"/>
    </row>
    <row r="408" spans="1:2" x14ac:dyDescent="0.2">
      <c r="A408" s="57"/>
      <c r="B408" s="57"/>
    </row>
    <row r="409" spans="1:2" x14ac:dyDescent="0.2">
      <c r="A409" s="57"/>
      <c r="B409" s="57"/>
    </row>
    <row r="410" spans="1:2" x14ac:dyDescent="0.2">
      <c r="A410" s="57"/>
      <c r="B410" s="57"/>
    </row>
    <row r="411" spans="1:2" x14ac:dyDescent="0.2">
      <c r="A411" s="57"/>
      <c r="B411" s="57"/>
    </row>
    <row r="412" spans="1:2" x14ac:dyDescent="0.2">
      <c r="A412" s="57"/>
      <c r="B412" s="57"/>
    </row>
    <row r="413" spans="1:2" x14ac:dyDescent="0.2">
      <c r="A413" s="57"/>
      <c r="B413" s="57"/>
    </row>
    <row r="414" spans="1:2" x14ac:dyDescent="0.2">
      <c r="A414" s="57"/>
      <c r="B414" s="57"/>
    </row>
    <row r="415" spans="1:2" x14ac:dyDescent="0.2">
      <c r="A415" s="57"/>
      <c r="B415" s="57"/>
    </row>
    <row r="416" spans="1:2" x14ac:dyDescent="0.2">
      <c r="A416" s="57"/>
      <c r="B416" s="57"/>
    </row>
    <row r="417" spans="1:2" x14ac:dyDescent="0.2">
      <c r="A417" s="57"/>
      <c r="B417" s="57"/>
    </row>
    <row r="418" spans="1:2" x14ac:dyDescent="0.2">
      <c r="A418" s="57"/>
      <c r="B418" s="57"/>
    </row>
    <row r="419" spans="1:2" x14ac:dyDescent="0.2">
      <c r="A419" s="57"/>
      <c r="B419" s="57"/>
    </row>
    <row r="420" spans="1:2" x14ac:dyDescent="0.2">
      <c r="A420" s="57"/>
      <c r="B420" s="57"/>
    </row>
    <row r="421" spans="1:2" x14ac:dyDescent="0.2">
      <c r="A421" s="57"/>
      <c r="B421" s="57"/>
    </row>
    <row r="422" spans="1:2" x14ac:dyDescent="0.2">
      <c r="A422" s="57"/>
      <c r="B422" s="57"/>
    </row>
    <row r="423" spans="1:2" x14ac:dyDescent="0.2">
      <c r="A423" s="57"/>
      <c r="B423" s="57"/>
    </row>
    <row r="424" spans="1:2" x14ac:dyDescent="0.2">
      <c r="A424" s="57"/>
      <c r="B424" s="57"/>
    </row>
    <row r="425" spans="1:2" x14ac:dyDescent="0.2">
      <c r="A425" s="57"/>
      <c r="B425" s="57"/>
    </row>
    <row r="426" spans="1:2" x14ac:dyDescent="0.2">
      <c r="A426" s="57"/>
      <c r="B426" s="57"/>
    </row>
    <row r="427" spans="1:2" x14ac:dyDescent="0.2">
      <c r="A427" s="57"/>
      <c r="B427" s="57"/>
    </row>
    <row r="428" spans="1:2" x14ac:dyDescent="0.2">
      <c r="A428" s="57"/>
      <c r="B428" s="57"/>
    </row>
    <row r="429" spans="1:2" x14ac:dyDescent="0.2">
      <c r="A429" s="57"/>
      <c r="B429" s="57"/>
    </row>
    <row r="430" spans="1:2" x14ac:dyDescent="0.2">
      <c r="A430" s="57"/>
      <c r="B430" s="57"/>
    </row>
    <row r="431" spans="1:2" x14ac:dyDescent="0.2">
      <c r="A431" s="57"/>
      <c r="B431" s="57"/>
    </row>
    <row r="432" spans="1:2" x14ac:dyDescent="0.2">
      <c r="A432" s="57"/>
      <c r="B432" s="57"/>
    </row>
    <row r="433" spans="1:2" x14ac:dyDescent="0.2">
      <c r="A433" s="57"/>
      <c r="B433" s="57"/>
    </row>
    <row r="434" spans="1:2" x14ac:dyDescent="0.2">
      <c r="A434" s="57"/>
      <c r="B434" s="57"/>
    </row>
    <row r="435" spans="1:2" x14ac:dyDescent="0.2">
      <c r="A435" s="57"/>
      <c r="B435" s="57"/>
    </row>
    <row r="436" spans="1:2" x14ac:dyDescent="0.2">
      <c r="A436" s="57"/>
      <c r="B436" s="57"/>
    </row>
    <row r="437" spans="1:2" x14ac:dyDescent="0.2">
      <c r="A437" s="57"/>
      <c r="B437" s="57"/>
    </row>
    <row r="438" spans="1:2" x14ac:dyDescent="0.2">
      <c r="A438" s="57"/>
      <c r="B438" s="57"/>
    </row>
    <row r="439" spans="1:2" x14ac:dyDescent="0.2">
      <c r="A439" s="57"/>
      <c r="B439" s="57"/>
    </row>
    <row r="440" spans="1:2" x14ac:dyDescent="0.2">
      <c r="A440" s="57"/>
      <c r="B440" s="57"/>
    </row>
    <row r="441" spans="1:2" x14ac:dyDescent="0.2">
      <c r="A441" s="57"/>
      <c r="B441" s="57"/>
    </row>
    <row r="442" spans="1:2" x14ac:dyDescent="0.2">
      <c r="A442" s="57"/>
      <c r="B442" s="57"/>
    </row>
    <row r="443" spans="1:2" x14ac:dyDescent="0.2">
      <c r="A443" s="57"/>
      <c r="B443" s="57"/>
    </row>
    <row r="444" spans="1:2" x14ac:dyDescent="0.2">
      <c r="A444" s="57"/>
      <c r="B444" s="57"/>
    </row>
    <row r="445" spans="1:2" x14ac:dyDescent="0.2">
      <c r="A445" s="57"/>
      <c r="B445" s="57"/>
    </row>
    <row r="446" spans="1:2" x14ac:dyDescent="0.2">
      <c r="A446" s="57"/>
      <c r="B446" s="57"/>
    </row>
    <row r="447" spans="1:2" x14ac:dyDescent="0.2">
      <c r="A447" s="57"/>
      <c r="B447" s="57"/>
    </row>
    <row r="448" spans="1:2" x14ac:dyDescent="0.2">
      <c r="A448" s="57"/>
      <c r="B448" s="57"/>
    </row>
    <row r="449" spans="1:2" x14ac:dyDescent="0.2">
      <c r="A449" s="57"/>
      <c r="B449" s="57"/>
    </row>
    <row r="450" spans="1:2" x14ac:dyDescent="0.2">
      <c r="A450" s="57"/>
      <c r="B450" s="57"/>
    </row>
    <row r="451" spans="1:2" x14ac:dyDescent="0.2">
      <c r="A451" s="57"/>
      <c r="B451" s="57"/>
    </row>
    <row r="452" spans="1:2" x14ac:dyDescent="0.2">
      <c r="A452" s="57"/>
      <c r="B452" s="57"/>
    </row>
    <row r="453" spans="1:2" x14ac:dyDescent="0.2">
      <c r="A453" s="57"/>
      <c r="B453" s="57"/>
    </row>
    <row r="454" spans="1:2" x14ac:dyDescent="0.2">
      <c r="A454" s="57"/>
      <c r="B454" s="57"/>
    </row>
    <row r="455" spans="1:2" x14ac:dyDescent="0.2">
      <c r="A455" s="57"/>
      <c r="B455" s="57"/>
    </row>
    <row r="456" spans="1:2" x14ac:dyDescent="0.2">
      <c r="A456" s="57"/>
      <c r="B456" s="57"/>
    </row>
    <row r="457" spans="1:2" x14ac:dyDescent="0.2">
      <c r="A457" s="57"/>
      <c r="B457" s="57"/>
    </row>
    <row r="458" spans="1:2" x14ac:dyDescent="0.2">
      <c r="A458" s="57"/>
      <c r="B458" s="57"/>
    </row>
    <row r="459" spans="1:2" x14ac:dyDescent="0.2">
      <c r="A459" s="57"/>
      <c r="B459" s="57"/>
    </row>
    <row r="460" spans="1:2" x14ac:dyDescent="0.2">
      <c r="A460" s="57"/>
      <c r="B460" s="57"/>
    </row>
    <row r="461" spans="1:2" x14ac:dyDescent="0.2">
      <c r="A461" s="57"/>
      <c r="B461" s="57"/>
    </row>
    <row r="462" spans="1:2" x14ac:dyDescent="0.2">
      <c r="A462" s="57"/>
      <c r="B462" s="57"/>
    </row>
    <row r="463" spans="1:2" x14ac:dyDescent="0.2">
      <c r="A463" s="57"/>
      <c r="B463" s="57"/>
    </row>
    <row r="464" spans="1:2" x14ac:dyDescent="0.2">
      <c r="A464" s="57"/>
      <c r="B464" s="57"/>
    </row>
    <row r="465" spans="1:2" x14ac:dyDescent="0.2">
      <c r="A465" s="57"/>
      <c r="B465" s="57"/>
    </row>
    <row r="466" spans="1:2" x14ac:dyDescent="0.2">
      <c r="A466" s="57"/>
      <c r="B466" s="57"/>
    </row>
    <row r="467" spans="1:2" x14ac:dyDescent="0.2">
      <c r="A467" s="57"/>
      <c r="B467" s="57"/>
    </row>
    <row r="468" spans="1:2" x14ac:dyDescent="0.2">
      <c r="A468" s="57"/>
      <c r="B468" s="57"/>
    </row>
    <row r="469" spans="1:2" x14ac:dyDescent="0.2">
      <c r="A469" s="57"/>
      <c r="B469" s="57"/>
    </row>
    <row r="470" spans="1:2" x14ac:dyDescent="0.2">
      <c r="A470" s="57"/>
      <c r="B470" s="57"/>
    </row>
    <row r="471" spans="1:2" x14ac:dyDescent="0.2">
      <c r="A471" s="57"/>
      <c r="B471" s="57"/>
    </row>
    <row r="472" spans="1:2" x14ac:dyDescent="0.2">
      <c r="A472" s="57"/>
      <c r="B472" s="57"/>
    </row>
    <row r="473" spans="1:2" x14ac:dyDescent="0.2">
      <c r="A473" s="57"/>
      <c r="B473" s="57"/>
    </row>
    <row r="474" spans="1:2" x14ac:dyDescent="0.2">
      <c r="A474" s="57"/>
      <c r="B474" s="57"/>
    </row>
    <row r="475" spans="1:2" x14ac:dyDescent="0.2">
      <c r="A475" s="57"/>
      <c r="B475" s="57"/>
    </row>
    <row r="476" spans="1:2" x14ac:dyDescent="0.2">
      <c r="A476" s="57"/>
      <c r="B476" s="57"/>
    </row>
    <row r="477" spans="1:2" x14ac:dyDescent="0.2">
      <c r="A477" s="57"/>
      <c r="B477" s="57"/>
    </row>
    <row r="478" spans="1:2" x14ac:dyDescent="0.2">
      <c r="A478" s="57"/>
      <c r="B478" s="57"/>
    </row>
    <row r="479" spans="1:2" x14ac:dyDescent="0.2">
      <c r="A479" s="57"/>
      <c r="B479" s="57"/>
    </row>
    <row r="480" spans="1:2" x14ac:dyDescent="0.2">
      <c r="A480" s="57"/>
      <c r="B480" s="57"/>
    </row>
    <row r="481" spans="1:2" x14ac:dyDescent="0.2">
      <c r="A481" s="57"/>
      <c r="B481" s="57"/>
    </row>
    <row r="482" spans="1:2" x14ac:dyDescent="0.2">
      <c r="A482" s="57"/>
      <c r="B482" s="57"/>
    </row>
    <row r="483" spans="1:2" x14ac:dyDescent="0.2">
      <c r="A483" s="57"/>
      <c r="B483" s="57"/>
    </row>
    <row r="484" spans="1:2" x14ac:dyDescent="0.2">
      <c r="A484" s="57"/>
      <c r="B484" s="57"/>
    </row>
    <row r="485" spans="1:2" x14ac:dyDescent="0.2">
      <c r="A485" s="57"/>
      <c r="B485" s="57"/>
    </row>
    <row r="486" spans="1:2" x14ac:dyDescent="0.2">
      <c r="A486" s="57"/>
      <c r="B486" s="57"/>
    </row>
    <row r="487" spans="1:2" x14ac:dyDescent="0.2">
      <c r="A487" s="57"/>
      <c r="B487" s="57"/>
    </row>
    <row r="488" spans="1:2" x14ac:dyDescent="0.2">
      <c r="A488" s="57"/>
      <c r="B488" s="57"/>
    </row>
    <row r="489" spans="1:2" x14ac:dyDescent="0.2">
      <c r="A489" s="57"/>
      <c r="B489" s="57"/>
    </row>
    <row r="490" spans="1:2" x14ac:dyDescent="0.2">
      <c r="A490" s="57"/>
      <c r="B490" s="57"/>
    </row>
    <row r="491" spans="1:2" x14ac:dyDescent="0.2">
      <c r="A491" s="57"/>
      <c r="B491" s="57"/>
    </row>
    <row r="492" spans="1:2" x14ac:dyDescent="0.2">
      <c r="A492" s="57"/>
      <c r="B492" s="57"/>
    </row>
    <row r="493" spans="1:2" x14ac:dyDescent="0.2">
      <c r="A493" s="57"/>
      <c r="B493" s="57"/>
    </row>
    <row r="494" spans="1:2" x14ac:dyDescent="0.2">
      <c r="A494" s="57"/>
      <c r="B494" s="57"/>
    </row>
    <row r="495" spans="1:2" x14ac:dyDescent="0.2">
      <c r="A495" s="57"/>
      <c r="B495" s="57"/>
    </row>
    <row r="496" spans="1:2" x14ac:dyDescent="0.2">
      <c r="A496" s="57"/>
      <c r="B496" s="57"/>
    </row>
    <row r="497" spans="1:2" x14ac:dyDescent="0.2">
      <c r="A497" s="57"/>
      <c r="B497" s="57"/>
    </row>
    <row r="498" spans="1:2" x14ac:dyDescent="0.2">
      <c r="A498" s="57"/>
      <c r="B498" s="57"/>
    </row>
    <row r="499" spans="1:2" x14ac:dyDescent="0.2">
      <c r="A499" s="57"/>
      <c r="B499" s="57"/>
    </row>
    <row r="500" spans="1:2" x14ac:dyDescent="0.2">
      <c r="A500" s="57"/>
      <c r="B500" s="57"/>
    </row>
    <row r="501" spans="1:2" x14ac:dyDescent="0.2">
      <c r="A501" s="57"/>
      <c r="B501" s="57"/>
    </row>
    <row r="502" spans="1:2" x14ac:dyDescent="0.2">
      <c r="A502" s="57"/>
      <c r="B502" s="57"/>
    </row>
    <row r="503" spans="1:2" x14ac:dyDescent="0.2">
      <c r="A503" s="57"/>
      <c r="B503" s="57"/>
    </row>
    <row r="504" spans="1:2" x14ac:dyDescent="0.2">
      <c r="A504" s="57"/>
      <c r="B504" s="57"/>
    </row>
    <row r="505" spans="1:2" x14ac:dyDescent="0.2">
      <c r="A505" s="57"/>
      <c r="B505" s="57"/>
    </row>
    <row r="506" spans="1:2" x14ac:dyDescent="0.2">
      <c r="A506" s="57"/>
      <c r="B506" s="57"/>
    </row>
    <row r="507" spans="1:2" x14ac:dyDescent="0.2">
      <c r="A507" s="57"/>
      <c r="B507" s="57"/>
    </row>
    <row r="508" spans="1:2" x14ac:dyDescent="0.2">
      <c r="A508" s="57"/>
      <c r="B508" s="57"/>
    </row>
    <row r="509" spans="1:2" x14ac:dyDescent="0.2">
      <c r="A509" s="57"/>
      <c r="B509" s="57"/>
    </row>
    <row r="510" spans="1:2" x14ac:dyDescent="0.2">
      <c r="A510" s="57"/>
      <c r="B510" s="57"/>
    </row>
    <row r="511" spans="1:2" x14ac:dyDescent="0.2">
      <c r="A511" s="57"/>
      <c r="B511" s="57"/>
    </row>
    <row r="512" spans="1:2" x14ac:dyDescent="0.2">
      <c r="A512" s="57"/>
      <c r="B512" s="57"/>
    </row>
    <row r="513" spans="1:2" x14ac:dyDescent="0.2">
      <c r="A513" s="57"/>
      <c r="B513" s="57"/>
    </row>
    <row r="514" spans="1:2" x14ac:dyDescent="0.2">
      <c r="A514" s="57"/>
      <c r="B514" s="57"/>
    </row>
    <row r="515" spans="1:2" x14ac:dyDescent="0.2">
      <c r="A515" s="57"/>
      <c r="B515" s="57"/>
    </row>
    <row r="516" spans="1:2" x14ac:dyDescent="0.2">
      <c r="A516" s="57"/>
      <c r="B516" s="57"/>
    </row>
    <row r="517" spans="1:2" x14ac:dyDescent="0.2">
      <c r="A517" s="57"/>
      <c r="B517" s="57"/>
    </row>
    <row r="518" spans="1:2" x14ac:dyDescent="0.2">
      <c r="A518" s="57"/>
      <c r="B518" s="57"/>
    </row>
    <row r="519" spans="1:2" x14ac:dyDescent="0.2">
      <c r="A519" s="57"/>
      <c r="B519" s="57"/>
    </row>
    <row r="520" spans="1:2" x14ac:dyDescent="0.2">
      <c r="A520" s="57"/>
      <c r="B520" s="57"/>
    </row>
    <row r="521" spans="1:2" x14ac:dyDescent="0.2">
      <c r="A521" s="57"/>
      <c r="B521" s="57"/>
    </row>
    <row r="522" spans="1:2" x14ac:dyDescent="0.2">
      <c r="A522" s="57"/>
      <c r="B522" s="57"/>
    </row>
    <row r="523" spans="1:2" x14ac:dyDescent="0.2">
      <c r="A523" s="57"/>
      <c r="B523" s="57"/>
    </row>
    <row r="524" spans="1:2" x14ac:dyDescent="0.2">
      <c r="A524" s="57"/>
      <c r="B524" s="57"/>
    </row>
    <row r="525" spans="1:2" x14ac:dyDescent="0.2">
      <c r="A525" s="57"/>
      <c r="B525" s="57"/>
    </row>
    <row r="526" spans="1:2" x14ac:dyDescent="0.2">
      <c r="A526" s="57"/>
      <c r="B526" s="57"/>
    </row>
    <row r="527" spans="1:2" x14ac:dyDescent="0.2">
      <c r="A527" s="57"/>
      <c r="B527" s="57"/>
    </row>
    <row r="528" spans="1:2" x14ac:dyDescent="0.2">
      <c r="A528" s="57"/>
      <c r="B528" s="57"/>
    </row>
    <row r="529" spans="1:2" x14ac:dyDescent="0.2">
      <c r="A529" s="57"/>
      <c r="B529" s="57"/>
    </row>
    <row r="530" spans="1:2" x14ac:dyDescent="0.2">
      <c r="A530" s="57"/>
      <c r="B530" s="57"/>
    </row>
    <row r="531" spans="1:2" x14ac:dyDescent="0.2">
      <c r="A531" s="57"/>
      <c r="B531" s="57"/>
    </row>
    <row r="532" spans="1:2" x14ac:dyDescent="0.2">
      <c r="A532" s="57"/>
      <c r="B532" s="57"/>
    </row>
    <row r="533" spans="1:2" x14ac:dyDescent="0.2">
      <c r="A533" s="57"/>
      <c r="B533" s="57"/>
    </row>
    <row r="534" spans="1:2" x14ac:dyDescent="0.2">
      <c r="A534" s="57"/>
      <c r="B534" s="57"/>
    </row>
    <row r="535" spans="1:2" x14ac:dyDescent="0.2">
      <c r="A535" s="57"/>
      <c r="B535" s="57"/>
    </row>
    <row r="536" spans="1:2" x14ac:dyDescent="0.2">
      <c r="A536" s="57"/>
      <c r="B536" s="57"/>
    </row>
    <row r="537" spans="1:2" x14ac:dyDescent="0.2">
      <c r="A537" s="57"/>
      <c r="B537" s="57"/>
    </row>
    <row r="538" spans="1:2" x14ac:dyDescent="0.2">
      <c r="A538" s="57"/>
      <c r="B538" s="57"/>
    </row>
    <row r="539" spans="1:2" x14ac:dyDescent="0.2">
      <c r="A539" s="57"/>
      <c r="B539" s="57"/>
    </row>
    <row r="540" spans="1:2" x14ac:dyDescent="0.2">
      <c r="A540" s="57"/>
      <c r="B540" s="57"/>
    </row>
    <row r="541" spans="1:2" x14ac:dyDescent="0.2">
      <c r="A541" s="57"/>
      <c r="B541" s="57"/>
    </row>
    <row r="542" spans="1:2" x14ac:dyDescent="0.2">
      <c r="A542" s="57"/>
      <c r="B542" s="57"/>
    </row>
    <row r="543" spans="1:2" x14ac:dyDescent="0.2">
      <c r="A543" s="57"/>
      <c r="B543" s="57"/>
    </row>
    <row r="544" spans="1:2" x14ac:dyDescent="0.2">
      <c r="A544" s="57"/>
      <c r="B544" s="57"/>
    </row>
    <row r="545" spans="1:2" x14ac:dyDescent="0.2">
      <c r="A545" s="57"/>
      <c r="B545" s="57"/>
    </row>
    <row r="546" spans="1:2" x14ac:dyDescent="0.2">
      <c r="A546" s="57"/>
      <c r="B546" s="57"/>
    </row>
    <row r="547" spans="1:2" x14ac:dyDescent="0.2">
      <c r="A547" s="57"/>
      <c r="B547" s="57"/>
    </row>
    <row r="548" spans="1:2" x14ac:dyDescent="0.2">
      <c r="A548" s="57"/>
      <c r="B548" s="57"/>
    </row>
    <row r="549" spans="1:2" x14ac:dyDescent="0.2">
      <c r="A549" s="57"/>
      <c r="B549" s="57"/>
    </row>
    <row r="550" spans="1:2" x14ac:dyDescent="0.2">
      <c r="A550" s="57"/>
      <c r="B550" s="57"/>
    </row>
    <row r="551" spans="1:2" x14ac:dyDescent="0.2">
      <c r="A551" s="57"/>
      <c r="B551" s="57"/>
    </row>
    <row r="552" spans="1:2" x14ac:dyDescent="0.2">
      <c r="A552" s="57"/>
      <c r="B552" s="57"/>
    </row>
    <row r="553" spans="1:2" x14ac:dyDescent="0.2">
      <c r="A553" s="57"/>
      <c r="B553" s="57"/>
    </row>
    <row r="554" spans="1:2" x14ac:dyDescent="0.2">
      <c r="A554" s="57"/>
      <c r="B554" s="57"/>
    </row>
    <row r="555" spans="1:2" x14ac:dyDescent="0.2">
      <c r="A555" s="57"/>
      <c r="B555" s="57"/>
    </row>
    <row r="556" spans="1:2" x14ac:dyDescent="0.2">
      <c r="A556" s="57"/>
      <c r="B556" s="57"/>
    </row>
    <row r="557" spans="1:2" x14ac:dyDescent="0.2">
      <c r="A557" s="57"/>
      <c r="B557" s="57"/>
    </row>
    <row r="558" spans="1:2" x14ac:dyDescent="0.2">
      <c r="A558" s="57"/>
      <c r="B558" s="57"/>
    </row>
    <row r="559" spans="1:2" x14ac:dyDescent="0.2">
      <c r="A559" s="57"/>
      <c r="B559" s="57"/>
    </row>
    <row r="560" spans="1:2" x14ac:dyDescent="0.2">
      <c r="A560" s="57"/>
      <c r="B560" s="57"/>
    </row>
    <row r="561" spans="1:2" x14ac:dyDescent="0.2">
      <c r="A561" s="57"/>
      <c r="B561" s="57"/>
    </row>
    <row r="562" spans="1:2" x14ac:dyDescent="0.2">
      <c r="A562" s="57"/>
      <c r="B562" s="57"/>
    </row>
    <row r="563" spans="1:2" x14ac:dyDescent="0.2">
      <c r="A563" s="57"/>
      <c r="B563" s="57"/>
    </row>
    <row r="564" spans="1:2" x14ac:dyDescent="0.2">
      <c r="A564" s="57"/>
      <c r="B564" s="57"/>
    </row>
    <row r="565" spans="1:2" x14ac:dyDescent="0.2">
      <c r="A565" s="57"/>
      <c r="B565" s="57"/>
    </row>
    <row r="566" spans="1:2" x14ac:dyDescent="0.2">
      <c r="A566" s="57"/>
      <c r="B566" s="57"/>
    </row>
    <row r="567" spans="1:2" x14ac:dyDescent="0.2">
      <c r="A567" s="57"/>
      <c r="B567" s="57"/>
    </row>
    <row r="568" spans="1:2" x14ac:dyDescent="0.2">
      <c r="A568" s="57"/>
      <c r="B568" s="57"/>
    </row>
    <row r="569" spans="1:2" x14ac:dyDescent="0.2">
      <c r="A569" s="57"/>
      <c r="B569" s="57"/>
    </row>
    <row r="570" spans="1:2" x14ac:dyDescent="0.2">
      <c r="A570" s="57"/>
      <c r="B570" s="57"/>
    </row>
    <row r="571" spans="1:2" x14ac:dyDescent="0.2">
      <c r="A571" s="57"/>
      <c r="B571" s="57"/>
    </row>
    <row r="572" spans="1:2" x14ac:dyDescent="0.2">
      <c r="A572" s="57"/>
      <c r="B572" s="57"/>
    </row>
    <row r="573" spans="1:2" x14ac:dyDescent="0.2">
      <c r="A573" s="57"/>
      <c r="B573" s="57"/>
    </row>
    <row r="574" spans="1:2" x14ac:dyDescent="0.2">
      <c r="A574" s="57"/>
      <c r="B574" s="57"/>
    </row>
    <row r="575" spans="1:2" x14ac:dyDescent="0.2">
      <c r="A575" s="57"/>
      <c r="B575" s="57"/>
    </row>
    <row r="576" spans="1:2" x14ac:dyDescent="0.2">
      <c r="A576" s="57"/>
      <c r="B576" s="57"/>
    </row>
    <row r="577" spans="1:2" x14ac:dyDescent="0.2">
      <c r="A577" s="57"/>
      <c r="B577" s="57"/>
    </row>
    <row r="578" spans="1:2" x14ac:dyDescent="0.2">
      <c r="A578" s="57"/>
      <c r="B578" s="57"/>
    </row>
    <row r="579" spans="1:2" x14ac:dyDescent="0.2">
      <c r="A579" s="57"/>
      <c r="B579" s="57"/>
    </row>
    <row r="580" spans="1:2" x14ac:dyDescent="0.2">
      <c r="A580" s="57"/>
      <c r="B580" s="57"/>
    </row>
    <row r="581" spans="1:2" x14ac:dyDescent="0.2">
      <c r="A581" s="57"/>
      <c r="B581" s="57"/>
    </row>
    <row r="582" spans="1:2" x14ac:dyDescent="0.2">
      <c r="A582" s="57"/>
      <c r="B582" s="57"/>
    </row>
    <row r="583" spans="1:2" x14ac:dyDescent="0.2">
      <c r="A583" s="57"/>
      <c r="B583" s="57"/>
    </row>
    <row r="584" spans="1:2" x14ac:dyDescent="0.2">
      <c r="A584" s="57"/>
      <c r="B584" s="57"/>
    </row>
    <row r="585" spans="1:2" x14ac:dyDescent="0.2">
      <c r="A585" s="57"/>
      <c r="B585" s="57"/>
    </row>
    <row r="586" spans="1:2" x14ac:dyDescent="0.2">
      <c r="A586" s="57"/>
      <c r="B586" s="57"/>
    </row>
    <row r="587" spans="1:2" x14ac:dyDescent="0.2">
      <c r="A587" s="57"/>
      <c r="B587" s="57"/>
    </row>
    <row r="588" spans="1:2" x14ac:dyDescent="0.2">
      <c r="A588" s="57"/>
      <c r="B588" s="57"/>
    </row>
    <row r="589" spans="1:2" x14ac:dyDescent="0.2">
      <c r="A589" s="57"/>
      <c r="B589" s="57"/>
    </row>
    <row r="590" spans="1:2" x14ac:dyDescent="0.2">
      <c r="A590" s="57"/>
      <c r="B590" s="57"/>
    </row>
    <row r="591" spans="1:2" x14ac:dyDescent="0.2">
      <c r="A591" s="57"/>
      <c r="B591" s="57"/>
    </row>
    <row r="592" spans="1:2" x14ac:dyDescent="0.2">
      <c r="A592" s="57"/>
      <c r="B592" s="57"/>
    </row>
    <row r="593" spans="1:2" x14ac:dyDescent="0.2">
      <c r="A593" s="57"/>
      <c r="B593" s="57"/>
    </row>
    <row r="594" spans="1:2" x14ac:dyDescent="0.2">
      <c r="A594" s="57"/>
      <c r="B594" s="57"/>
    </row>
    <row r="595" spans="1:2" x14ac:dyDescent="0.2">
      <c r="A595" s="57"/>
      <c r="B595" s="57"/>
    </row>
    <row r="596" spans="1:2" x14ac:dyDescent="0.2">
      <c r="A596" s="57"/>
      <c r="B596" s="57"/>
    </row>
    <row r="597" spans="1:2" x14ac:dyDescent="0.2">
      <c r="A597" s="57"/>
      <c r="B597" s="57"/>
    </row>
    <row r="598" spans="1:2" x14ac:dyDescent="0.2">
      <c r="A598" s="57"/>
      <c r="B598" s="57"/>
    </row>
    <row r="599" spans="1:2" x14ac:dyDescent="0.2">
      <c r="A599" s="57"/>
      <c r="B599" s="57"/>
    </row>
    <row r="600" spans="1:2" x14ac:dyDescent="0.2">
      <c r="A600" s="57"/>
      <c r="B600" s="57"/>
    </row>
    <row r="601" spans="1:2" x14ac:dyDescent="0.2">
      <c r="A601" s="57"/>
      <c r="B601" s="57"/>
    </row>
    <row r="602" spans="1:2" x14ac:dyDescent="0.2">
      <c r="A602" s="57"/>
      <c r="B602" s="57"/>
    </row>
    <row r="603" spans="1:2" x14ac:dyDescent="0.2">
      <c r="A603" s="57"/>
      <c r="B603" s="57"/>
    </row>
    <row r="604" spans="1:2" x14ac:dyDescent="0.2">
      <c r="A604" s="57"/>
      <c r="B604" s="57"/>
    </row>
    <row r="605" spans="1:2" x14ac:dyDescent="0.2">
      <c r="A605" s="57"/>
      <c r="B605" s="57"/>
    </row>
    <row r="606" spans="1:2" x14ac:dyDescent="0.2">
      <c r="A606" s="57"/>
      <c r="B606" s="57"/>
    </row>
    <row r="607" spans="1:2" x14ac:dyDescent="0.2">
      <c r="A607" s="57"/>
      <c r="B607" s="57"/>
    </row>
    <row r="608" spans="1:2" x14ac:dyDescent="0.2">
      <c r="A608" s="57"/>
      <c r="B608" s="57"/>
    </row>
    <row r="609" spans="1:2" x14ac:dyDescent="0.2">
      <c r="A609" s="57"/>
      <c r="B609" s="57"/>
    </row>
    <row r="610" spans="1:2" x14ac:dyDescent="0.2">
      <c r="A610" s="57"/>
      <c r="B610" s="57"/>
    </row>
    <row r="611" spans="1:2" x14ac:dyDescent="0.2">
      <c r="A611" s="57"/>
      <c r="B611" s="57"/>
    </row>
    <row r="612" spans="1:2" x14ac:dyDescent="0.2">
      <c r="A612" s="57"/>
      <c r="B612" s="57"/>
    </row>
    <row r="613" spans="1:2" x14ac:dyDescent="0.2">
      <c r="A613" s="57"/>
      <c r="B613" s="57"/>
    </row>
    <row r="614" spans="1:2" x14ac:dyDescent="0.2">
      <c r="A614" s="57"/>
      <c r="B614" s="57"/>
    </row>
    <row r="615" spans="1:2" x14ac:dyDescent="0.2">
      <c r="A615" s="57"/>
      <c r="B615" s="57"/>
    </row>
    <row r="616" spans="1:2" x14ac:dyDescent="0.2">
      <c r="A616" s="57"/>
      <c r="B616" s="57"/>
    </row>
    <row r="617" spans="1:2" x14ac:dyDescent="0.2">
      <c r="A617" s="57"/>
      <c r="B617" s="57"/>
    </row>
    <row r="618" spans="1:2" x14ac:dyDescent="0.2">
      <c r="A618" s="57"/>
      <c r="B618" s="57"/>
    </row>
    <row r="619" spans="1:2" x14ac:dyDescent="0.2">
      <c r="A619" s="57"/>
      <c r="B619" s="57"/>
    </row>
    <row r="620" spans="1:2" x14ac:dyDescent="0.2">
      <c r="A620" s="57"/>
      <c r="B620" s="57"/>
    </row>
    <row r="621" spans="1:2" x14ac:dyDescent="0.2">
      <c r="A621" s="57"/>
      <c r="B621" s="57"/>
    </row>
    <row r="622" spans="1:2" x14ac:dyDescent="0.2">
      <c r="A622" s="57"/>
      <c r="B622" s="57"/>
    </row>
    <row r="623" spans="1:2" x14ac:dyDescent="0.2">
      <c r="A623" s="57"/>
      <c r="B623" s="57"/>
    </row>
    <row r="624" spans="1:2" x14ac:dyDescent="0.2">
      <c r="A624" s="57"/>
      <c r="B624" s="57"/>
    </row>
    <row r="625" spans="1:2" x14ac:dyDescent="0.2">
      <c r="A625" s="57"/>
      <c r="B625" s="57"/>
    </row>
    <row r="626" spans="1:2" x14ac:dyDescent="0.2">
      <c r="A626" s="57"/>
      <c r="B626" s="57"/>
    </row>
    <row r="627" spans="1:2" x14ac:dyDescent="0.2">
      <c r="A627" s="57"/>
      <c r="B627" s="57"/>
    </row>
    <row r="628" spans="1:2" x14ac:dyDescent="0.2">
      <c r="A628" s="57"/>
      <c r="B628" s="57"/>
    </row>
    <row r="629" spans="1:2" x14ac:dyDescent="0.2">
      <c r="A629" s="57"/>
      <c r="B629" s="57"/>
    </row>
    <row r="630" spans="1:2" x14ac:dyDescent="0.2">
      <c r="A630" s="57"/>
      <c r="B630" s="57"/>
    </row>
    <row r="631" spans="1:2" x14ac:dyDescent="0.2">
      <c r="A631" s="57"/>
      <c r="B631" s="57"/>
    </row>
    <row r="632" spans="1:2" x14ac:dyDescent="0.2">
      <c r="A632" s="57"/>
      <c r="B632" s="57"/>
    </row>
    <row r="633" spans="1:2" x14ac:dyDescent="0.2">
      <c r="A633" s="57"/>
      <c r="B633" s="57"/>
    </row>
    <row r="634" spans="1:2" x14ac:dyDescent="0.2">
      <c r="A634" s="57"/>
      <c r="B634" s="57"/>
    </row>
    <row r="635" spans="1:2" x14ac:dyDescent="0.2">
      <c r="A635" s="57"/>
      <c r="B635" s="57"/>
    </row>
    <row r="636" spans="1:2" x14ac:dyDescent="0.2">
      <c r="A636" s="57"/>
      <c r="B636" s="57"/>
    </row>
    <row r="637" spans="1:2" x14ac:dyDescent="0.2">
      <c r="A637" s="57"/>
      <c r="B637" s="57"/>
    </row>
    <row r="638" spans="1:2" x14ac:dyDescent="0.2">
      <c r="A638" s="57"/>
      <c r="B638" s="57"/>
    </row>
    <row r="639" spans="1:2" x14ac:dyDescent="0.2">
      <c r="A639" s="57"/>
      <c r="B639" s="57"/>
    </row>
    <row r="640" spans="1:2" x14ac:dyDescent="0.2">
      <c r="A640" s="57"/>
      <c r="B640" s="57"/>
    </row>
    <row r="641" spans="1:2" x14ac:dyDescent="0.2">
      <c r="A641" s="57"/>
      <c r="B641" s="57"/>
    </row>
    <row r="642" spans="1:2" x14ac:dyDescent="0.2">
      <c r="A642" s="57"/>
      <c r="B642" s="57"/>
    </row>
    <row r="643" spans="1:2" x14ac:dyDescent="0.2">
      <c r="A643" s="57"/>
      <c r="B643" s="57"/>
    </row>
    <row r="644" spans="1:2" x14ac:dyDescent="0.2">
      <c r="A644" s="57"/>
      <c r="B644" s="57"/>
    </row>
    <row r="645" spans="1:2" x14ac:dyDescent="0.2">
      <c r="A645" s="57"/>
      <c r="B645" s="57"/>
    </row>
    <row r="646" spans="1:2" x14ac:dyDescent="0.2">
      <c r="A646" s="57"/>
      <c r="B646" s="57"/>
    </row>
    <row r="647" spans="1:2" x14ac:dyDescent="0.2">
      <c r="A647" s="57"/>
      <c r="B647" s="57"/>
    </row>
    <row r="648" spans="1:2" x14ac:dyDescent="0.2">
      <c r="A648" s="57"/>
      <c r="B648" s="57"/>
    </row>
    <row r="649" spans="1:2" x14ac:dyDescent="0.2">
      <c r="A649" s="57"/>
      <c r="B649" s="57"/>
    </row>
    <row r="650" spans="1:2" x14ac:dyDescent="0.2">
      <c r="A650" s="57"/>
      <c r="B650" s="57"/>
    </row>
    <row r="651" spans="1:2" x14ac:dyDescent="0.2">
      <c r="A651" s="57"/>
      <c r="B651" s="57"/>
    </row>
    <row r="652" spans="1:2" x14ac:dyDescent="0.2">
      <c r="A652" s="57"/>
      <c r="B652" s="57"/>
    </row>
    <row r="653" spans="1:2" x14ac:dyDescent="0.2">
      <c r="A653" s="57"/>
      <c r="B653" s="57"/>
    </row>
    <row r="654" spans="1:2" x14ac:dyDescent="0.2">
      <c r="A654" s="57"/>
      <c r="B654" s="57"/>
    </row>
    <row r="655" spans="1:2" x14ac:dyDescent="0.2">
      <c r="A655" s="57"/>
      <c r="B655" s="57"/>
    </row>
    <row r="656" spans="1:2" x14ac:dyDescent="0.2">
      <c r="A656" s="57"/>
      <c r="B656" s="57"/>
    </row>
    <row r="657" spans="1:2" x14ac:dyDescent="0.2">
      <c r="A657" s="57"/>
      <c r="B657" s="57"/>
    </row>
    <row r="658" spans="1:2" x14ac:dyDescent="0.2">
      <c r="A658" s="57"/>
      <c r="B658" s="57"/>
    </row>
    <row r="659" spans="1:2" x14ac:dyDescent="0.2">
      <c r="A659" s="57"/>
      <c r="B659" s="57"/>
    </row>
    <row r="660" spans="1:2" x14ac:dyDescent="0.2">
      <c r="A660" s="57"/>
      <c r="B660" s="57"/>
    </row>
    <row r="661" spans="1:2" x14ac:dyDescent="0.2">
      <c r="A661" s="57"/>
      <c r="B661" s="57"/>
    </row>
    <row r="662" spans="1:2" x14ac:dyDescent="0.2">
      <c r="A662" s="57"/>
      <c r="B662" s="57"/>
    </row>
    <row r="663" spans="1:2" x14ac:dyDescent="0.2">
      <c r="A663" s="57"/>
      <c r="B663" s="57"/>
    </row>
    <row r="664" spans="1:2" x14ac:dyDescent="0.2">
      <c r="A664" s="57"/>
      <c r="B664" s="57"/>
    </row>
    <row r="665" spans="1:2" x14ac:dyDescent="0.2">
      <c r="A665" s="57"/>
      <c r="B665" s="57"/>
    </row>
    <row r="666" spans="1:2" x14ac:dyDescent="0.2">
      <c r="A666" s="57"/>
      <c r="B666" s="57"/>
    </row>
    <row r="667" spans="1:2" x14ac:dyDescent="0.2">
      <c r="A667" s="57"/>
      <c r="B667" s="57"/>
    </row>
    <row r="668" spans="1:2" x14ac:dyDescent="0.2">
      <c r="A668" s="57"/>
      <c r="B668" s="57"/>
    </row>
    <row r="669" spans="1:2" x14ac:dyDescent="0.2">
      <c r="A669" s="57"/>
      <c r="B669" s="57"/>
    </row>
    <row r="670" spans="1:2" x14ac:dyDescent="0.2">
      <c r="A670" s="57"/>
      <c r="B670" s="57"/>
    </row>
    <row r="671" spans="1:2" x14ac:dyDescent="0.2">
      <c r="A671" s="57"/>
      <c r="B671" s="57"/>
    </row>
    <row r="672" spans="1:2" x14ac:dyDescent="0.2">
      <c r="A672" s="57"/>
      <c r="B672" s="57"/>
    </row>
    <row r="673" spans="1:2" x14ac:dyDescent="0.2">
      <c r="A673" s="57"/>
      <c r="B673" s="57"/>
    </row>
    <row r="674" spans="1:2" x14ac:dyDescent="0.2">
      <c r="A674" s="57"/>
      <c r="B674" s="57"/>
    </row>
    <row r="675" spans="1:2" x14ac:dyDescent="0.2">
      <c r="A675" s="57"/>
      <c r="B675" s="57"/>
    </row>
    <row r="676" spans="1:2" x14ac:dyDescent="0.2">
      <c r="A676" s="57"/>
      <c r="B676" s="57"/>
    </row>
    <row r="677" spans="1:2" x14ac:dyDescent="0.2">
      <c r="A677" s="57"/>
      <c r="B677" s="57"/>
    </row>
    <row r="678" spans="1:2" x14ac:dyDescent="0.2">
      <c r="A678" s="57"/>
      <c r="B678" s="57"/>
    </row>
    <row r="679" spans="1:2" x14ac:dyDescent="0.2">
      <c r="A679" s="57"/>
      <c r="B679" s="57"/>
    </row>
    <row r="680" spans="1:2" x14ac:dyDescent="0.2">
      <c r="A680" s="57"/>
      <c r="B680" s="57"/>
    </row>
    <row r="681" spans="1:2" x14ac:dyDescent="0.2">
      <c r="A681" s="57"/>
      <c r="B681" s="57"/>
    </row>
    <row r="682" spans="1:2" x14ac:dyDescent="0.2">
      <c r="A682" s="57"/>
      <c r="B682" s="57"/>
    </row>
    <row r="683" spans="1:2" x14ac:dyDescent="0.2">
      <c r="A683" s="57"/>
      <c r="B683" s="57"/>
    </row>
    <row r="684" spans="1:2" x14ac:dyDescent="0.2">
      <c r="A684" s="57"/>
      <c r="B684" s="57"/>
    </row>
    <row r="685" spans="1:2" x14ac:dyDescent="0.2">
      <c r="A685" s="57"/>
      <c r="B685" s="57"/>
    </row>
    <row r="686" spans="1:2" x14ac:dyDescent="0.2">
      <c r="A686" s="57"/>
      <c r="B686" s="57"/>
    </row>
    <row r="687" spans="1:2" x14ac:dyDescent="0.2">
      <c r="A687" s="57"/>
      <c r="B687" s="57"/>
    </row>
    <row r="688" spans="1:2" x14ac:dyDescent="0.2">
      <c r="A688" s="57"/>
      <c r="B688" s="57"/>
    </row>
    <row r="689" spans="1:2" x14ac:dyDescent="0.2">
      <c r="A689" s="57"/>
      <c r="B689" s="57"/>
    </row>
    <row r="690" spans="1:2" x14ac:dyDescent="0.2">
      <c r="A690" s="57"/>
      <c r="B690" s="57"/>
    </row>
    <row r="691" spans="1:2" x14ac:dyDescent="0.2">
      <c r="A691" s="57"/>
      <c r="B691" s="57"/>
    </row>
    <row r="692" spans="1:2" x14ac:dyDescent="0.2">
      <c r="A692" s="57"/>
      <c r="B692" s="57"/>
    </row>
    <row r="693" spans="1:2" x14ac:dyDescent="0.2">
      <c r="A693" s="57"/>
      <c r="B693" s="57"/>
    </row>
    <row r="694" spans="1:2" x14ac:dyDescent="0.2">
      <c r="A694" s="57"/>
      <c r="B694" s="57"/>
    </row>
    <row r="695" spans="1:2" x14ac:dyDescent="0.2">
      <c r="A695" s="57"/>
      <c r="B695" s="57"/>
    </row>
    <row r="696" spans="1:2" x14ac:dyDescent="0.2">
      <c r="A696" s="57"/>
      <c r="B696" s="57"/>
    </row>
    <row r="697" spans="1:2" x14ac:dyDescent="0.2">
      <c r="A697" s="57"/>
      <c r="B697" s="57"/>
    </row>
    <row r="698" spans="1:2" x14ac:dyDescent="0.2">
      <c r="A698" s="57"/>
      <c r="B698" s="57"/>
    </row>
    <row r="699" spans="1:2" x14ac:dyDescent="0.2">
      <c r="A699" s="57"/>
      <c r="B699" s="57"/>
    </row>
    <row r="700" spans="1:2" x14ac:dyDescent="0.2">
      <c r="A700" s="57"/>
      <c r="B700" s="57"/>
    </row>
    <row r="701" spans="1:2" x14ac:dyDescent="0.2">
      <c r="A701" s="57"/>
      <c r="B701" s="57"/>
    </row>
    <row r="702" spans="1:2" x14ac:dyDescent="0.2">
      <c r="A702" s="57"/>
      <c r="B702" s="57"/>
    </row>
    <row r="703" spans="1:2" x14ac:dyDescent="0.2">
      <c r="A703" s="57"/>
      <c r="B703" s="57"/>
    </row>
    <row r="704" spans="1:2" x14ac:dyDescent="0.2">
      <c r="A704" s="57"/>
      <c r="B704" s="57"/>
    </row>
    <row r="705" spans="1:2" x14ac:dyDescent="0.2">
      <c r="A705" s="57"/>
      <c r="B705" s="57"/>
    </row>
    <row r="706" spans="1:2" x14ac:dyDescent="0.2">
      <c r="A706" s="57"/>
      <c r="B706" s="57"/>
    </row>
    <row r="707" spans="1:2" x14ac:dyDescent="0.2">
      <c r="A707" s="57"/>
      <c r="B707" s="57"/>
    </row>
    <row r="708" spans="1:2" x14ac:dyDescent="0.2">
      <c r="A708" s="57"/>
      <c r="B708" s="57"/>
    </row>
    <row r="709" spans="1:2" x14ac:dyDescent="0.2">
      <c r="A709" s="57"/>
      <c r="B709" s="57"/>
    </row>
    <row r="710" spans="1:2" x14ac:dyDescent="0.2">
      <c r="A710" s="57"/>
      <c r="B710" s="57"/>
    </row>
    <row r="711" spans="1:2" x14ac:dyDescent="0.2">
      <c r="A711" s="57"/>
      <c r="B711" s="57"/>
    </row>
    <row r="712" spans="1:2" x14ac:dyDescent="0.2">
      <c r="A712" s="57"/>
      <c r="B712" s="57"/>
    </row>
    <row r="713" spans="1:2" x14ac:dyDescent="0.2">
      <c r="A713" s="57"/>
      <c r="B713" s="57"/>
    </row>
    <row r="714" spans="1:2" x14ac:dyDescent="0.2">
      <c r="A714" s="57"/>
      <c r="B714" s="57"/>
    </row>
    <row r="715" spans="1:2" x14ac:dyDescent="0.2">
      <c r="A715" s="57"/>
      <c r="B715" s="57"/>
    </row>
    <row r="716" spans="1:2" x14ac:dyDescent="0.2">
      <c r="A716" s="57"/>
      <c r="B716" s="57"/>
    </row>
    <row r="717" spans="1:2" x14ac:dyDescent="0.2">
      <c r="A717" s="57"/>
      <c r="B717" s="57"/>
    </row>
    <row r="718" spans="1:2" x14ac:dyDescent="0.2">
      <c r="A718" s="57"/>
      <c r="B718" s="57"/>
    </row>
    <row r="719" spans="1:2" x14ac:dyDescent="0.2">
      <c r="A719" s="57"/>
      <c r="B719" s="57"/>
    </row>
    <row r="720" spans="1:2" x14ac:dyDescent="0.2">
      <c r="A720" s="57"/>
      <c r="B720" s="57"/>
    </row>
    <row r="721" spans="1:2" x14ac:dyDescent="0.2">
      <c r="A721" s="57"/>
      <c r="B721" s="57"/>
    </row>
    <row r="722" spans="1:2" x14ac:dyDescent="0.2">
      <c r="A722" s="57"/>
      <c r="B722" s="57"/>
    </row>
    <row r="723" spans="1:2" x14ac:dyDescent="0.2">
      <c r="A723" s="57"/>
      <c r="B723" s="57"/>
    </row>
    <row r="724" spans="1:2" x14ac:dyDescent="0.2">
      <c r="A724" s="57"/>
      <c r="B724" s="57"/>
    </row>
    <row r="725" spans="1:2" x14ac:dyDescent="0.2">
      <c r="A725" s="57"/>
      <c r="B725" s="57"/>
    </row>
    <row r="726" spans="1:2" x14ac:dyDescent="0.2">
      <c r="A726" s="57"/>
      <c r="B726" s="57"/>
    </row>
    <row r="727" spans="1:2" x14ac:dyDescent="0.2">
      <c r="A727" s="57"/>
      <c r="B727" s="57"/>
    </row>
    <row r="728" spans="1:2" x14ac:dyDescent="0.2">
      <c r="A728" s="57"/>
      <c r="B728" s="57"/>
    </row>
    <row r="729" spans="1:2" x14ac:dyDescent="0.2">
      <c r="A729" s="57"/>
      <c r="B729" s="57"/>
    </row>
    <row r="730" spans="1:2" x14ac:dyDescent="0.2">
      <c r="A730" s="57"/>
      <c r="B730" s="57"/>
    </row>
    <row r="731" spans="1:2" x14ac:dyDescent="0.2">
      <c r="A731" s="57"/>
      <c r="B731" s="57"/>
    </row>
    <row r="732" spans="1:2" x14ac:dyDescent="0.2">
      <c r="A732" s="57"/>
      <c r="B732" s="57"/>
    </row>
    <row r="733" spans="1:2" x14ac:dyDescent="0.2">
      <c r="A733" s="57"/>
      <c r="B733" s="57"/>
    </row>
    <row r="734" spans="1:2" x14ac:dyDescent="0.2">
      <c r="A734" s="57"/>
      <c r="B734" s="57"/>
    </row>
    <row r="735" spans="1:2" x14ac:dyDescent="0.2">
      <c r="A735" s="57"/>
      <c r="B735" s="57"/>
    </row>
    <row r="736" spans="1:2" x14ac:dyDescent="0.2">
      <c r="A736" s="57"/>
      <c r="B736" s="57"/>
    </row>
    <row r="737" spans="1:2" x14ac:dyDescent="0.2">
      <c r="A737" s="57"/>
      <c r="B737" s="57"/>
    </row>
    <row r="738" spans="1:2" x14ac:dyDescent="0.2">
      <c r="A738" s="57"/>
      <c r="B738" s="57"/>
    </row>
    <row r="739" spans="1:2" x14ac:dyDescent="0.2">
      <c r="A739" s="57"/>
      <c r="B739" s="57"/>
    </row>
    <row r="740" spans="1:2" x14ac:dyDescent="0.2">
      <c r="A740" s="57"/>
      <c r="B740" s="57"/>
    </row>
    <row r="741" spans="1:2" x14ac:dyDescent="0.2">
      <c r="A741" s="57"/>
      <c r="B741" s="57"/>
    </row>
    <row r="742" spans="1:2" x14ac:dyDescent="0.2">
      <c r="A742" s="57"/>
      <c r="B742" s="57"/>
    </row>
    <row r="743" spans="1:2" x14ac:dyDescent="0.2">
      <c r="A743" s="57"/>
      <c r="B743" s="57"/>
    </row>
    <row r="744" spans="1:2" x14ac:dyDescent="0.2">
      <c r="A744" s="57"/>
      <c r="B744" s="57"/>
    </row>
    <row r="745" spans="1:2" x14ac:dyDescent="0.2">
      <c r="A745" s="57"/>
      <c r="B745" s="57"/>
    </row>
    <row r="746" spans="1:2" x14ac:dyDescent="0.2">
      <c r="A746" s="57"/>
      <c r="B746" s="57"/>
    </row>
    <row r="747" spans="1:2" x14ac:dyDescent="0.2">
      <c r="A747" s="57"/>
      <c r="B747" s="57"/>
    </row>
    <row r="748" spans="1:2" x14ac:dyDescent="0.2">
      <c r="A748" s="57"/>
      <c r="B748" s="57"/>
    </row>
    <row r="749" spans="1:2" x14ac:dyDescent="0.2">
      <c r="A749" s="57"/>
      <c r="B749" s="57"/>
    </row>
    <row r="750" spans="1:2" x14ac:dyDescent="0.2">
      <c r="A750" s="57"/>
      <c r="B750" s="57"/>
    </row>
    <row r="751" spans="1:2" x14ac:dyDescent="0.2">
      <c r="A751" s="57"/>
      <c r="B751" s="57"/>
    </row>
    <row r="752" spans="1:2" x14ac:dyDescent="0.2">
      <c r="A752" s="57"/>
      <c r="B752" s="57"/>
    </row>
    <row r="753" spans="1:2" x14ac:dyDescent="0.2">
      <c r="A753" s="57"/>
      <c r="B753" s="57"/>
    </row>
    <row r="754" spans="1:2" x14ac:dyDescent="0.2">
      <c r="A754" s="57"/>
      <c r="B754" s="57"/>
    </row>
    <row r="755" spans="1:2" x14ac:dyDescent="0.2">
      <c r="A755" s="57"/>
      <c r="B755" s="57"/>
    </row>
    <row r="756" spans="1:2" x14ac:dyDescent="0.2">
      <c r="A756" s="57"/>
      <c r="B756" s="57"/>
    </row>
    <row r="757" spans="1:2" x14ac:dyDescent="0.2">
      <c r="A757" s="57"/>
      <c r="B757" s="57"/>
    </row>
    <row r="758" spans="1:2" x14ac:dyDescent="0.2">
      <c r="A758" s="57"/>
      <c r="B758" s="57"/>
    </row>
    <row r="759" spans="1:2" x14ac:dyDescent="0.2">
      <c r="A759" s="57"/>
      <c r="B759" s="57"/>
    </row>
    <row r="760" spans="1:2" x14ac:dyDescent="0.2">
      <c r="A760" s="57"/>
      <c r="B760" s="57"/>
    </row>
    <row r="761" spans="1:2" x14ac:dyDescent="0.2">
      <c r="A761" s="57"/>
      <c r="B761" s="57"/>
    </row>
    <row r="762" spans="1:2" x14ac:dyDescent="0.2">
      <c r="A762" s="57"/>
      <c r="B762" s="57"/>
    </row>
    <row r="763" spans="1:2" x14ac:dyDescent="0.2">
      <c r="A763" s="57"/>
      <c r="B763" s="57"/>
    </row>
    <row r="764" spans="1:2" x14ac:dyDescent="0.2">
      <c r="A764" s="57"/>
      <c r="B764" s="57"/>
    </row>
    <row r="765" spans="1:2" x14ac:dyDescent="0.2">
      <c r="A765" s="57"/>
      <c r="B765" s="57"/>
    </row>
    <row r="766" spans="1:2" x14ac:dyDescent="0.2">
      <c r="A766" s="57"/>
      <c r="B766" s="57"/>
    </row>
    <row r="767" spans="1:2" x14ac:dyDescent="0.2">
      <c r="A767" s="57"/>
      <c r="B767" s="57"/>
    </row>
    <row r="768" spans="1:2" x14ac:dyDescent="0.2">
      <c r="A768" s="57"/>
      <c r="B768" s="57"/>
    </row>
    <row r="769" spans="1:2" x14ac:dyDescent="0.2">
      <c r="A769" s="57"/>
      <c r="B769" s="57"/>
    </row>
    <row r="770" spans="1:2" x14ac:dyDescent="0.2">
      <c r="A770" s="57"/>
      <c r="B770" s="57"/>
    </row>
    <row r="771" spans="1:2" x14ac:dyDescent="0.2">
      <c r="A771" s="57"/>
      <c r="B771" s="57"/>
    </row>
    <row r="772" spans="1:2" x14ac:dyDescent="0.2">
      <c r="A772" s="57"/>
      <c r="B772" s="57"/>
    </row>
    <row r="773" spans="1:2" x14ac:dyDescent="0.2">
      <c r="A773" s="57"/>
      <c r="B773" s="57"/>
    </row>
    <row r="774" spans="1:2" x14ac:dyDescent="0.2">
      <c r="A774" s="57"/>
      <c r="B774" s="57"/>
    </row>
    <row r="775" spans="1:2" x14ac:dyDescent="0.2">
      <c r="A775" s="57"/>
      <c r="B775" s="57"/>
    </row>
    <row r="776" spans="1:2" x14ac:dyDescent="0.2">
      <c r="A776" s="57"/>
      <c r="B776" s="57"/>
    </row>
    <row r="777" spans="1:2" x14ac:dyDescent="0.2">
      <c r="A777" s="57"/>
      <c r="B777" s="57"/>
    </row>
    <row r="778" spans="1:2" x14ac:dyDescent="0.2">
      <c r="A778" s="57"/>
      <c r="B778" s="57"/>
    </row>
    <row r="779" spans="1:2" x14ac:dyDescent="0.2">
      <c r="A779" s="57"/>
      <c r="B779" s="57"/>
    </row>
    <row r="780" spans="1:2" x14ac:dyDescent="0.2">
      <c r="A780" s="57"/>
      <c r="B780" s="57"/>
    </row>
    <row r="781" spans="1:2" x14ac:dyDescent="0.2">
      <c r="A781" s="57"/>
      <c r="B781" s="57"/>
    </row>
    <row r="782" spans="1:2" x14ac:dyDescent="0.2">
      <c r="A782" s="57"/>
      <c r="B782" s="57"/>
    </row>
    <row r="783" spans="1:2" x14ac:dyDescent="0.2">
      <c r="A783" s="57"/>
      <c r="B783" s="57"/>
    </row>
    <row r="784" spans="1:2" x14ac:dyDescent="0.2">
      <c r="A784" s="57"/>
      <c r="B784" s="57"/>
    </row>
    <row r="785" spans="1:2" x14ac:dyDescent="0.2">
      <c r="A785" s="57"/>
      <c r="B785" s="57"/>
    </row>
    <row r="786" spans="1:2" x14ac:dyDescent="0.2">
      <c r="A786" s="57"/>
      <c r="B786" s="57"/>
    </row>
    <row r="787" spans="1:2" x14ac:dyDescent="0.2">
      <c r="A787" s="57"/>
      <c r="B787" s="57"/>
    </row>
    <row r="788" spans="1:2" x14ac:dyDescent="0.2">
      <c r="A788" s="57"/>
      <c r="B788" s="57"/>
    </row>
    <row r="789" spans="1:2" x14ac:dyDescent="0.2">
      <c r="A789" s="57"/>
      <c r="B789" s="57"/>
    </row>
    <row r="790" spans="1:2" x14ac:dyDescent="0.2">
      <c r="A790" s="57"/>
      <c r="B790" s="57"/>
    </row>
    <row r="791" spans="1:2" x14ac:dyDescent="0.2">
      <c r="A791" s="57"/>
      <c r="B791" s="57"/>
    </row>
    <row r="792" spans="1:2" x14ac:dyDescent="0.2">
      <c r="A792" s="57"/>
      <c r="B792" s="57"/>
    </row>
    <row r="793" spans="1:2" x14ac:dyDescent="0.2">
      <c r="A793" s="57"/>
      <c r="B793" s="57"/>
    </row>
    <row r="794" spans="1:2" x14ac:dyDescent="0.2">
      <c r="A794" s="57"/>
      <c r="B794" s="57"/>
    </row>
    <row r="795" spans="1:2" x14ac:dyDescent="0.2">
      <c r="A795" s="57"/>
      <c r="B795" s="57"/>
    </row>
    <row r="796" spans="1:2" x14ac:dyDescent="0.2">
      <c r="A796" s="57"/>
      <c r="B796" s="57"/>
    </row>
    <row r="797" spans="1:2" x14ac:dyDescent="0.2">
      <c r="A797" s="57"/>
      <c r="B797" s="57"/>
    </row>
    <row r="798" spans="1:2" x14ac:dyDescent="0.2">
      <c r="A798" s="57"/>
      <c r="B798" s="57"/>
    </row>
    <row r="799" spans="1:2" x14ac:dyDescent="0.2">
      <c r="A799" s="57"/>
      <c r="B799" s="57"/>
    </row>
    <row r="800" spans="1:2" x14ac:dyDescent="0.2">
      <c r="A800" s="57"/>
      <c r="B800" s="57"/>
    </row>
    <row r="801" spans="1:2" x14ac:dyDescent="0.2">
      <c r="A801" s="57"/>
      <c r="B801" s="57"/>
    </row>
    <row r="802" spans="1:2" x14ac:dyDescent="0.2">
      <c r="A802" s="57"/>
      <c r="B802" s="57"/>
    </row>
    <row r="803" spans="1:2" x14ac:dyDescent="0.2">
      <c r="A803" s="57"/>
      <c r="B803" s="57"/>
    </row>
    <row r="804" spans="1:2" x14ac:dyDescent="0.2">
      <c r="A804" s="57"/>
      <c r="B804" s="57"/>
    </row>
    <row r="805" spans="1:2" x14ac:dyDescent="0.2">
      <c r="A805" s="57"/>
      <c r="B805" s="57"/>
    </row>
    <row r="806" spans="1:2" x14ac:dyDescent="0.2">
      <c r="A806" s="57"/>
      <c r="B806" s="57"/>
    </row>
    <row r="807" spans="1:2" x14ac:dyDescent="0.2">
      <c r="A807" s="57"/>
      <c r="B807" s="57"/>
    </row>
    <row r="808" spans="1:2" x14ac:dyDescent="0.2">
      <c r="A808" s="57"/>
      <c r="B808" s="57"/>
    </row>
    <row r="809" spans="1:2" x14ac:dyDescent="0.2">
      <c r="A809" s="57"/>
      <c r="B809" s="57"/>
    </row>
    <row r="810" spans="1:2" x14ac:dyDescent="0.2">
      <c r="A810" s="57"/>
      <c r="B810" s="57"/>
    </row>
    <row r="811" spans="1:2" x14ac:dyDescent="0.2">
      <c r="A811" s="57"/>
      <c r="B811" s="57"/>
    </row>
    <row r="812" spans="1:2" x14ac:dyDescent="0.2">
      <c r="A812" s="57"/>
      <c r="B812" s="57"/>
    </row>
    <row r="813" spans="1:2" x14ac:dyDescent="0.2">
      <c r="A813" s="57"/>
      <c r="B813" s="57"/>
    </row>
    <row r="814" spans="1:2" x14ac:dyDescent="0.2">
      <c r="A814" s="57"/>
      <c r="B814" s="57"/>
    </row>
    <row r="815" spans="1:2" x14ac:dyDescent="0.2">
      <c r="A815" s="57"/>
      <c r="B815" s="57"/>
    </row>
    <row r="816" spans="1:2" x14ac:dyDescent="0.2">
      <c r="A816" s="57"/>
      <c r="B816" s="57"/>
    </row>
    <row r="817" spans="1:2" x14ac:dyDescent="0.2">
      <c r="A817" s="57"/>
      <c r="B817" s="57"/>
    </row>
    <row r="818" spans="1:2" x14ac:dyDescent="0.2">
      <c r="A818" s="57"/>
      <c r="B818" s="57"/>
    </row>
    <row r="819" spans="1:2" x14ac:dyDescent="0.2">
      <c r="A819" s="57"/>
      <c r="B819" s="57"/>
    </row>
    <row r="820" spans="1:2" x14ac:dyDescent="0.2">
      <c r="A820" s="57"/>
      <c r="B820" s="57"/>
    </row>
    <row r="821" spans="1:2" x14ac:dyDescent="0.2">
      <c r="A821" s="57"/>
      <c r="B821" s="57"/>
    </row>
    <row r="822" spans="1:2" x14ac:dyDescent="0.2">
      <c r="A822" s="57"/>
      <c r="B822" s="57"/>
    </row>
    <row r="823" spans="1:2" x14ac:dyDescent="0.2">
      <c r="A823" s="57"/>
      <c r="B823" s="57"/>
    </row>
    <row r="824" spans="1:2" x14ac:dyDescent="0.2">
      <c r="A824" s="57"/>
      <c r="B824" s="57"/>
    </row>
    <row r="825" spans="1:2" x14ac:dyDescent="0.2">
      <c r="A825" s="57"/>
      <c r="B825" s="57"/>
    </row>
    <row r="826" spans="1:2" x14ac:dyDescent="0.2">
      <c r="A826" s="57"/>
      <c r="B826" s="57"/>
    </row>
    <row r="827" spans="1:2" x14ac:dyDescent="0.2">
      <c r="A827" s="57"/>
      <c r="B827" s="57"/>
    </row>
    <row r="828" spans="1:2" x14ac:dyDescent="0.2">
      <c r="A828" s="57"/>
      <c r="B828" s="57"/>
    </row>
    <row r="829" spans="1:2" x14ac:dyDescent="0.2">
      <c r="A829" s="57"/>
      <c r="B829" s="57"/>
    </row>
    <row r="830" spans="1:2" x14ac:dyDescent="0.2">
      <c r="A830" s="57"/>
      <c r="B830" s="57"/>
    </row>
    <row r="831" spans="1:2" x14ac:dyDescent="0.2">
      <c r="A831" s="57"/>
      <c r="B831" s="57"/>
    </row>
    <row r="832" spans="1:2" x14ac:dyDescent="0.2">
      <c r="A832" s="57"/>
      <c r="B832" s="57"/>
    </row>
    <row r="833" spans="1:2" x14ac:dyDescent="0.2">
      <c r="A833" s="57"/>
      <c r="B833" s="57"/>
    </row>
    <row r="834" spans="1:2" x14ac:dyDescent="0.2">
      <c r="A834" s="57"/>
      <c r="B834" s="57"/>
    </row>
    <row r="835" spans="1:2" x14ac:dyDescent="0.2">
      <c r="A835" s="57"/>
      <c r="B835" s="57"/>
    </row>
    <row r="836" spans="1:2" x14ac:dyDescent="0.2">
      <c r="A836" s="57"/>
      <c r="B836" s="57"/>
    </row>
    <row r="837" spans="1:2" x14ac:dyDescent="0.2">
      <c r="A837" s="57"/>
      <c r="B837" s="57"/>
    </row>
    <row r="838" spans="1:2" x14ac:dyDescent="0.2">
      <c r="A838" s="57"/>
      <c r="B838" s="57"/>
    </row>
    <row r="839" spans="1:2" x14ac:dyDescent="0.2">
      <c r="A839" s="57"/>
      <c r="B839" s="57"/>
    </row>
    <row r="840" spans="1:2" x14ac:dyDescent="0.2">
      <c r="A840" s="57"/>
      <c r="B840" s="57"/>
    </row>
    <row r="841" spans="1:2" x14ac:dyDescent="0.2">
      <c r="A841" s="57"/>
      <c r="B841" s="57"/>
    </row>
    <row r="842" spans="1:2" x14ac:dyDescent="0.2">
      <c r="A842" s="57"/>
      <c r="B842" s="57"/>
    </row>
    <row r="843" spans="1:2" x14ac:dyDescent="0.2">
      <c r="A843" s="57"/>
      <c r="B843" s="57"/>
    </row>
    <row r="844" spans="1:2" x14ac:dyDescent="0.2">
      <c r="A844" s="57"/>
      <c r="B844" s="57"/>
    </row>
    <row r="845" spans="1:2" x14ac:dyDescent="0.2">
      <c r="A845" s="57"/>
      <c r="B845" s="57"/>
    </row>
    <row r="846" spans="1:2" x14ac:dyDescent="0.2">
      <c r="A846" s="57"/>
      <c r="B846" s="57"/>
    </row>
    <row r="847" spans="1:2" x14ac:dyDescent="0.2">
      <c r="A847" s="57"/>
      <c r="B847" s="57"/>
    </row>
    <row r="848" spans="1:2" x14ac:dyDescent="0.2">
      <c r="A848" s="57"/>
      <c r="B848" s="57"/>
    </row>
    <row r="849" spans="1:2" x14ac:dyDescent="0.2">
      <c r="A849" s="57"/>
      <c r="B849" s="57"/>
    </row>
    <row r="850" spans="1:2" x14ac:dyDescent="0.2">
      <c r="A850" s="57"/>
      <c r="B850" s="57"/>
    </row>
    <row r="851" spans="1:2" x14ac:dyDescent="0.2">
      <c r="A851" s="57"/>
      <c r="B851" s="57"/>
    </row>
    <row r="852" spans="1:2" x14ac:dyDescent="0.2">
      <c r="A852" s="57"/>
      <c r="B852" s="57"/>
    </row>
    <row r="853" spans="1:2" x14ac:dyDescent="0.2">
      <c r="A853" s="57"/>
      <c r="B853" s="57"/>
    </row>
    <row r="854" spans="1:2" x14ac:dyDescent="0.2">
      <c r="A854" s="57"/>
      <c r="B854" s="57"/>
    </row>
    <row r="855" spans="1:2" x14ac:dyDescent="0.2">
      <c r="A855" s="57"/>
      <c r="B855" s="57"/>
    </row>
    <row r="856" spans="1:2" x14ac:dyDescent="0.2">
      <c r="A856" s="57"/>
      <c r="B856" s="57"/>
    </row>
    <row r="857" spans="1:2" x14ac:dyDescent="0.2">
      <c r="A857" s="57"/>
      <c r="B857" s="57"/>
    </row>
    <row r="858" spans="1:2" x14ac:dyDescent="0.2">
      <c r="A858" s="57"/>
      <c r="B858" s="57"/>
    </row>
    <row r="859" spans="1:2" x14ac:dyDescent="0.2">
      <c r="A859" s="57"/>
      <c r="B859" s="57"/>
    </row>
    <row r="860" spans="1:2" x14ac:dyDescent="0.2">
      <c r="A860" s="57"/>
      <c r="B860" s="57"/>
    </row>
    <row r="861" spans="1:2" x14ac:dyDescent="0.2">
      <c r="A861" s="57"/>
      <c r="B861" s="57"/>
    </row>
    <row r="862" spans="1:2" x14ac:dyDescent="0.2">
      <c r="A862" s="57"/>
      <c r="B862" s="57"/>
    </row>
    <row r="863" spans="1:2" x14ac:dyDescent="0.2">
      <c r="A863" s="57"/>
      <c r="B863" s="57"/>
    </row>
    <row r="864" spans="1:2" x14ac:dyDescent="0.2">
      <c r="A864" s="57"/>
      <c r="B864" s="57"/>
    </row>
    <row r="865" spans="1:2" x14ac:dyDescent="0.2">
      <c r="A865" s="57"/>
      <c r="B865" s="57"/>
    </row>
    <row r="866" spans="1:2" x14ac:dyDescent="0.2">
      <c r="A866" s="57"/>
      <c r="B866" s="57"/>
    </row>
    <row r="867" spans="1:2" x14ac:dyDescent="0.2">
      <c r="A867" s="57"/>
      <c r="B867" s="57"/>
    </row>
    <row r="868" spans="1:2" x14ac:dyDescent="0.2">
      <c r="A868" s="57"/>
      <c r="B868" s="57"/>
    </row>
    <row r="869" spans="1:2" x14ac:dyDescent="0.2">
      <c r="A869" s="57"/>
      <c r="B869" s="57"/>
    </row>
    <row r="870" spans="1:2" x14ac:dyDescent="0.2">
      <c r="A870" s="57"/>
      <c r="B870" s="57"/>
    </row>
    <row r="871" spans="1:2" x14ac:dyDescent="0.2">
      <c r="A871" s="57"/>
      <c r="B871" s="57"/>
    </row>
    <row r="872" spans="1:2" x14ac:dyDescent="0.2">
      <c r="A872" s="57"/>
      <c r="B872" s="57"/>
    </row>
    <row r="873" spans="1:2" x14ac:dyDescent="0.2">
      <c r="A873" s="57"/>
      <c r="B873" s="57"/>
    </row>
    <row r="874" spans="1:2" x14ac:dyDescent="0.2">
      <c r="A874" s="57"/>
      <c r="B874" s="57"/>
    </row>
    <row r="875" spans="1:2" x14ac:dyDescent="0.2">
      <c r="A875" s="57"/>
      <c r="B875" s="57"/>
    </row>
    <row r="876" spans="1:2" x14ac:dyDescent="0.2">
      <c r="A876" s="57"/>
      <c r="B876" s="57"/>
    </row>
    <row r="877" spans="1:2" x14ac:dyDescent="0.2">
      <c r="A877" s="57"/>
      <c r="B877" s="57"/>
    </row>
    <row r="878" spans="1:2" x14ac:dyDescent="0.2">
      <c r="A878" s="57"/>
      <c r="B878" s="57"/>
    </row>
    <row r="879" spans="1:2" x14ac:dyDescent="0.2">
      <c r="A879" s="57"/>
      <c r="B879" s="57"/>
    </row>
    <row r="880" spans="1:2" x14ac:dyDescent="0.2">
      <c r="A880" s="57"/>
      <c r="B880" s="57"/>
    </row>
    <row r="881" spans="1:2" x14ac:dyDescent="0.2">
      <c r="A881" s="57"/>
      <c r="B881" s="57"/>
    </row>
    <row r="882" spans="1:2" x14ac:dyDescent="0.2">
      <c r="A882" s="57"/>
      <c r="B882" s="57"/>
    </row>
    <row r="883" spans="1:2" x14ac:dyDescent="0.2">
      <c r="A883" s="57"/>
      <c r="B883" s="57"/>
    </row>
    <row r="884" spans="1:2" x14ac:dyDescent="0.2">
      <c r="A884" s="57"/>
      <c r="B884" s="57"/>
    </row>
    <row r="885" spans="1:2" x14ac:dyDescent="0.2">
      <c r="A885" s="57"/>
      <c r="B885" s="57"/>
    </row>
    <row r="886" spans="1:2" x14ac:dyDescent="0.2">
      <c r="A886" s="57"/>
      <c r="B886" s="57"/>
    </row>
    <row r="887" spans="1:2" x14ac:dyDescent="0.2">
      <c r="A887" s="57"/>
      <c r="B887" s="57"/>
    </row>
    <row r="888" spans="1:2" x14ac:dyDescent="0.2">
      <c r="A888" s="57"/>
      <c r="B888" s="57"/>
    </row>
    <row r="889" spans="1:2" x14ac:dyDescent="0.2">
      <c r="A889" s="57"/>
      <c r="B889" s="57"/>
    </row>
    <row r="890" spans="1:2" x14ac:dyDescent="0.2">
      <c r="A890" s="57"/>
      <c r="B890" s="57"/>
    </row>
    <row r="891" spans="1:2" x14ac:dyDescent="0.2">
      <c r="A891" s="57"/>
      <c r="B891" s="57"/>
    </row>
    <row r="892" spans="1:2" x14ac:dyDescent="0.2">
      <c r="A892" s="57"/>
      <c r="B892" s="57"/>
    </row>
    <row r="893" spans="1:2" x14ac:dyDescent="0.2">
      <c r="A893" s="57"/>
      <c r="B893" s="57"/>
    </row>
    <row r="894" spans="1:2" x14ac:dyDescent="0.2">
      <c r="A894" s="57"/>
      <c r="B894" s="57"/>
    </row>
    <row r="895" spans="1:2" x14ac:dyDescent="0.2">
      <c r="A895" s="57"/>
      <c r="B895" s="57"/>
    </row>
    <row r="896" spans="1:2" x14ac:dyDescent="0.2">
      <c r="A896" s="57"/>
      <c r="B896" s="57"/>
    </row>
    <row r="897" spans="1:2" x14ac:dyDescent="0.2">
      <c r="A897" s="57"/>
      <c r="B897" s="57"/>
    </row>
    <row r="898" spans="1:2" x14ac:dyDescent="0.2">
      <c r="A898" s="57"/>
      <c r="B898" s="57"/>
    </row>
    <row r="899" spans="1:2" x14ac:dyDescent="0.2">
      <c r="A899" s="57"/>
      <c r="B899" s="57"/>
    </row>
    <row r="900" spans="1:2" x14ac:dyDescent="0.2">
      <c r="A900" s="57"/>
      <c r="B900" s="57"/>
    </row>
    <row r="901" spans="1:2" x14ac:dyDescent="0.2">
      <c r="A901" s="57"/>
      <c r="B901" s="57"/>
    </row>
    <row r="902" spans="1:2" x14ac:dyDescent="0.2">
      <c r="A902" s="57"/>
      <c r="B902" s="57"/>
    </row>
    <row r="903" spans="1:2" x14ac:dyDescent="0.2">
      <c r="A903" s="57"/>
      <c r="B903" s="57"/>
    </row>
    <row r="904" spans="1:2" x14ac:dyDescent="0.2">
      <c r="A904" s="57"/>
      <c r="B904" s="57"/>
    </row>
    <row r="905" spans="1:2" x14ac:dyDescent="0.2">
      <c r="A905" s="57"/>
      <c r="B905" s="57"/>
    </row>
    <row r="906" spans="1:2" x14ac:dyDescent="0.2">
      <c r="A906" s="57"/>
      <c r="B906" s="57"/>
    </row>
    <row r="907" spans="1:2" x14ac:dyDescent="0.2">
      <c r="A907" s="57"/>
      <c r="B907" s="57"/>
    </row>
    <row r="908" spans="1:2" x14ac:dyDescent="0.2">
      <c r="A908" s="57"/>
      <c r="B908" s="57"/>
    </row>
    <row r="909" spans="1:2" x14ac:dyDescent="0.2">
      <c r="A909" s="57"/>
      <c r="B909" s="57"/>
    </row>
    <row r="910" spans="1:2" x14ac:dyDescent="0.2">
      <c r="A910" s="57"/>
      <c r="B910" s="57"/>
    </row>
    <row r="911" spans="1:2" x14ac:dyDescent="0.2">
      <c r="A911" s="57"/>
      <c r="B911" s="57"/>
    </row>
    <row r="912" spans="1:2" x14ac:dyDescent="0.2">
      <c r="A912" s="57"/>
      <c r="B912" s="57"/>
    </row>
    <row r="913" spans="1:2" x14ac:dyDescent="0.2">
      <c r="A913" s="57"/>
      <c r="B913" s="57"/>
    </row>
    <row r="914" spans="1:2" x14ac:dyDescent="0.2">
      <c r="A914" s="57"/>
      <c r="B914" s="57"/>
    </row>
    <row r="915" spans="1:2" x14ac:dyDescent="0.2">
      <c r="A915" s="57"/>
      <c r="B915" s="57"/>
    </row>
    <row r="916" spans="1:2" x14ac:dyDescent="0.2">
      <c r="A916" s="57"/>
      <c r="B916" s="57"/>
    </row>
    <row r="917" spans="1:2" x14ac:dyDescent="0.2">
      <c r="A917" s="57"/>
      <c r="B917" s="57"/>
    </row>
    <row r="918" spans="1:2" x14ac:dyDescent="0.2">
      <c r="A918" s="57"/>
      <c r="B918" s="57"/>
    </row>
    <row r="919" spans="1:2" x14ac:dyDescent="0.2">
      <c r="A919" s="57"/>
      <c r="B919" s="57"/>
    </row>
    <row r="920" spans="1:2" x14ac:dyDescent="0.2">
      <c r="A920" s="57"/>
      <c r="B920" s="57"/>
    </row>
    <row r="921" spans="1:2" x14ac:dyDescent="0.2">
      <c r="A921" s="57"/>
      <c r="B921" s="57"/>
    </row>
    <row r="922" spans="1:2" x14ac:dyDescent="0.2">
      <c r="A922" s="57"/>
      <c r="B922" s="57"/>
    </row>
    <row r="923" spans="1:2" x14ac:dyDescent="0.2">
      <c r="A923" s="57"/>
      <c r="B923" s="57"/>
    </row>
    <row r="924" spans="1:2" x14ac:dyDescent="0.2">
      <c r="A924" s="57"/>
      <c r="B924" s="57"/>
    </row>
    <row r="925" spans="1:2" x14ac:dyDescent="0.2">
      <c r="A925" s="57"/>
      <c r="B925" s="57"/>
    </row>
    <row r="926" spans="1:2" x14ac:dyDescent="0.2">
      <c r="A926" s="57"/>
      <c r="B926" s="57"/>
    </row>
    <row r="927" spans="1:2" x14ac:dyDescent="0.2">
      <c r="A927" s="57"/>
      <c r="B927" s="57"/>
    </row>
    <row r="928" spans="1:2" x14ac:dyDescent="0.2">
      <c r="A928" s="57"/>
      <c r="B928" s="57"/>
    </row>
    <row r="929" spans="1:2" x14ac:dyDescent="0.2">
      <c r="A929" s="57"/>
      <c r="B929" s="57"/>
    </row>
    <row r="930" spans="1:2" x14ac:dyDescent="0.2">
      <c r="A930" s="57"/>
      <c r="B930" s="57"/>
    </row>
    <row r="931" spans="1:2" x14ac:dyDescent="0.2">
      <c r="A931" s="57"/>
      <c r="B931" s="57"/>
    </row>
    <row r="932" spans="1:2" x14ac:dyDescent="0.2">
      <c r="A932" s="57"/>
      <c r="B932" s="57"/>
    </row>
    <row r="933" spans="1:2" x14ac:dyDescent="0.2">
      <c r="A933" s="57"/>
      <c r="B933" s="57"/>
    </row>
    <row r="934" spans="1:2" x14ac:dyDescent="0.2">
      <c r="A934" s="57"/>
      <c r="B934" s="57"/>
    </row>
    <row r="935" spans="1:2" x14ac:dyDescent="0.2">
      <c r="A935" s="57"/>
      <c r="B935" s="57"/>
    </row>
    <row r="936" spans="1:2" x14ac:dyDescent="0.2">
      <c r="A936" s="57"/>
      <c r="B936" s="57"/>
    </row>
    <row r="937" spans="1:2" x14ac:dyDescent="0.2">
      <c r="A937" s="57"/>
      <c r="B937" s="57"/>
    </row>
    <row r="938" spans="1:2" x14ac:dyDescent="0.2">
      <c r="A938" s="57"/>
      <c r="B938" s="57"/>
    </row>
    <row r="939" spans="1:2" x14ac:dyDescent="0.2">
      <c r="A939" s="57"/>
      <c r="B939" s="57"/>
    </row>
    <row r="940" spans="1:2" x14ac:dyDescent="0.2">
      <c r="A940" s="57"/>
      <c r="B940" s="57"/>
    </row>
    <row r="941" spans="1:2" x14ac:dyDescent="0.2">
      <c r="A941" s="57"/>
      <c r="B941" s="57"/>
    </row>
    <row r="942" spans="1:2" x14ac:dyDescent="0.2">
      <c r="A942" s="57"/>
      <c r="B942" s="57"/>
    </row>
    <row r="943" spans="1:2" x14ac:dyDescent="0.2">
      <c r="A943" s="57"/>
      <c r="B943" s="57"/>
    </row>
    <row r="944" spans="1:2" x14ac:dyDescent="0.2">
      <c r="A944" s="57"/>
      <c r="B944" s="57"/>
    </row>
    <row r="945" spans="1:2" x14ac:dyDescent="0.2">
      <c r="A945" s="57"/>
      <c r="B945" s="57"/>
    </row>
    <row r="946" spans="1:2" x14ac:dyDescent="0.2">
      <c r="A946" s="57"/>
      <c r="B946" s="57"/>
    </row>
    <row r="947" spans="1:2" x14ac:dyDescent="0.2">
      <c r="A947" s="57"/>
      <c r="B947" s="57"/>
    </row>
    <row r="948" spans="1:2" x14ac:dyDescent="0.2">
      <c r="A948" s="57"/>
      <c r="B948" s="57"/>
    </row>
    <row r="949" spans="1:2" x14ac:dyDescent="0.2">
      <c r="A949" s="57"/>
      <c r="B949" s="57"/>
    </row>
    <row r="950" spans="1:2" x14ac:dyDescent="0.2">
      <c r="A950" s="57"/>
      <c r="B950" s="57"/>
    </row>
    <row r="951" spans="1:2" x14ac:dyDescent="0.2">
      <c r="A951" s="57"/>
      <c r="B951" s="57"/>
    </row>
    <row r="952" spans="1:2" x14ac:dyDescent="0.2">
      <c r="A952" s="57"/>
      <c r="B952" s="57"/>
    </row>
    <row r="953" spans="1:2" x14ac:dyDescent="0.2">
      <c r="A953" s="57"/>
      <c r="B953" s="57"/>
    </row>
    <row r="954" spans="1:2" x14ac:dyDescent="0.2">
      <c r="A954" s="57"/>
      <c r="B954" s="57"/>
    </row>
    <row r="955" spans="1:2" x14ac:dyDescent="0.2">
      <c r="A955" s="57"/>
      <c r="B955" s="57"/>
    </row>
    <row r="956" spans="1:2" x14ac:dyDescent="0.2">
      <c r="A956" s="57"/>
      <c r="B956" s="57"/>
    </row>
    <row r="957" spans="1:2" x14ac:dyDescent="0.2">
      <c r="A957" s="57"/>
      <c r="B957" s="57"/>
    </row>
    <row r="958" spans="1:2" x14ac:dyDescent="0.2">
      <c r="A958" s="57"/>
      <c r="B958" s="57"/>
    </row>
    <row r="959" spans="1:2" x14ac:dyDescent="0.2">
      <c r="A959" s="57"/>
      <c r="B959" s="57"/>
    </row>
    <row r="960" spans="1:2" x14ac:dyDescent="0.2">
      <c r="A960" s="57"/>
      <c r="B960" s="57"/>
    </row>
    <row r="961" spans="1:2" x14ac:dyDescent="0.2">
      <c r="A961" s="57"/>
      <c r="B961" s="57"/>
    </row>
    <row r="962" spans="1:2" x14ac:dyDescent="0.2">
      <c r="A962" s="57"/>
      <c r="B962" s="57"/>
    </row>
    <row r="963" spans="1:2" x14ac:dyDescent="0.2">
      <c r="A963" s="57"/>
      <c r="B963" s="57"/>
    </row>
    <row r="964" spans="1:2" x14ac:dyDescent="0.2">
      <c r="A964" s="57"/>
      <c r="B964" s="57"/>
    </row>
    <row r="965" spans="1:2" x14ac:dyDescent="0.2">
      <c r="A965" s="57"/>
      <c r="B965" s="57"/>
    </row>
    <row r="966" spans="1:2" x14ac:dyDescent="0.2">
      <c r="A966" s="57"/>
      <c r="B966" s="57"/>
    </row>
    <row r="967" spans="1:2" x14ac:dyDescent="0.2">
      <c r="A967" s="57"/>
      <c r="B967" s="57"/>
    </row>
    <row r="968" spans="1:2" x14ac:dyDescent="0.2">
      <c r="A968" s="57"/>
      <c r="B968" s="57"/>
    </row>
    <row r="969" spans="1:2" x14ac:dyDescent="0.2">
      <c r="A969" s="57"/>
      <c r="B969" s="57"/>
    </row>
    <row r="970" spans="1:2" x14ac:dyDescent="0.2">
      <c r="A970" s="57"/>
      <c r="B970" s="57"/>
    </row>
    <row r="971" spans="1:2" x14ac:dyDescent="0.2">
      <c r="A971" s="57"/>
      <c r="B971" s="57"/>
    </row>
    <row r="972" spans="1:2" x14ac:dyDescent="0.2">
      <c r="A972" s="57"/>
      <c r="B972" s="57"/>
    </row>
    <row r="973" spans="1:2" x14ac:dyDescent="0.2">
      <c r="A973" s="57"/>
      <c r="B973" s="57"/>
    </row>
    <row r="974" spans="1:2" x14ac:dyDescent="0.2">
      <c r="A974" s="57"/>
      <c r="B974" s="57"/>
    </row>
    <row r="975" spans="1:2" x14ac:dyDescent="0.2">
      <c r="A975" s="57"/>
      <c r="B975" s="57"/>
    </row>
    <row r="976" spans="1:2" x14ac:dyDescent="0.2">
      <c r="A976" s="57"/>
      <c r="B976" s="57"/>
    </row>
    <row r="977" spans="1:2" x14ac:dyDescent="0.2">
      <c r="A977" s="57"/>
      <c r="B977" s="57"/>
    </row>
    <row r="978" spans="1:2" x14ac:dyDescent="0.2">
      <c r="A978" s="57"/>
      <c r="B978" s="57"/>
    </row>
    <row r="979" spans="1:2" x14ac:dyDescent="0.2">
      <c r="A979" s="57"/>
      <c r="B979" s="57"/>
    </row>
    <row r="980" spans="1:2" x14ac:dyDescent="0.2">
      <c r="A980" s="57"/>
      <c r="B980" s="57"/>
    </row>
    <row r="981" spans="1:2" x14ac:dyDescent="0.2">
      <c r="A981" s="57"/>
      <c r="B981" s="57"/>
    </row>
    <row r="982" spans="1:2" x14ac:dyDescent="0.2">
      <c r="A982" s="57"/>
      <c r="B982" s="57"/>
    </row>
    <row r="983" spans="1:2" x14ac:dyDescent="0.2">
      <c r="A983" s="57"/>
      <c r="B983" s="57"/>
    </row>
    <row r="984" spans="1:2" x14ac:dyDescent="0.2">
      <c r="A984" s="57"/>
      <c r="B984" s="57"/>
    </row>
    <row r="985" spans="1:2" x14ac:dyDescent="0.2">
      <c r="A985" s="57"/>
      <c r="B985" s="57"/>
    </row>
    <row r="986" spans="1:2" x14ac:dyDescent="0.2">
      <c r="A986" s="57"/>
      <c r="B986" s="57"/>
    </row>
    <row r="987" spans="1:2" x14ac:dyDescent="0.2">
      <c r="A987" s="57"/>
      <c r="B987" s="57"/>
    </row>
    <row r="988" spans="1:2" x14ac:dyDescent="0.2">
      <c r="A988" s="57"/>
      <c r="B988" s="57"/>
    </row>
    <row r="989" spans="1:2" x14ac:dyDescent="0.2">
      <c r="A989" s="57"/>
      <c r="B989" s="57"/>
    </row>
    <row r="990" spans="1:2" x14ac:dyDescent="0.2">
      <c r="A990" s="57"/>
      <c r="B990" s="57"/>
    </row>
    <row r="991" spans="1:2" x14ac:dyDescent="0.2">
      <c r="A991" s="57"/>
      <c r="B991" s="57"/>
    </row>
    <row r="992" spans="1:2" x14ac:dyDescent="0.2">
      <c r="A992" s="57"/>
      <c r="B992" s="57"/>
    </row>
    <row r="993" spans="1:2" x14ac:dyDescent="0.2">
      <c r="A993" s="57"/>
      <c r="B993" s="57"/>
    </row>
    <row r="994" spans="1:2" x14ac:dyDescent="0.2">
      <c r="A994" s="57"/>
      <c r="B994" s="57"/>
    </row>
    <row r="995" spans="1:2" x14ac:dyDescent="0.2">
      <c r="A995" s="57"/>
      <c r="B995" s="57"/>
    </row>
    <row r="996" spans="1:2" x14ac:dyDescent="0.2">
      <c r="A996" s="57"/>
      <c r="B996" s="57"/>
    </row>
    <row r="997" spans="1:2" x14ac:dyDescent="0.2">
      <c r="A997" s="57"/>
      <c r="B997" s="57"/>
    </row>
    <row r="998" spans="1:2" x14ac:dyDescent="0.2">
      <c r="A998" s="57"/>
      <c r="B998" s="57"/>
    </row>
    <row r="999" spans="1:2" x14ac:dyDescent="0.2">
      <c r="A999" s="57"/>
      <c r="B999" s="57"/>
    </row>
    <row r="1000" spans="1:2" x14ac:dyDescent="0.2">
      <c r="A1000" s="57"/>
      <c r="B1000" s="57"/>
    </row>
    <row r="1001" spans="1:2" x14ac:dyDescent="0.2">
      <c r="A1001" s="57"/>
      <c r="B1001" s="57"/>
    </row>
    <row r="1002" spans="1:2" x14ac:dyDescent="0.2">
      <c r="A1002" s="57"/>
      <c r="B1002" s="57"/>
    </row>
    <row r="1003" spans="1:2" x14ac:dyDescent="0.2">
      <c r="A1003" s="57"/>
      <c r="B1003" s="57"/>
    </row>
    <row r="1004" spans="1:2" x14ac:dyDescent="0.2">
      <c r="A1004" s="57"/>
      <c r="B1004" s="57"/>
    </row>
    <row r="1005" spans="1:2" x14ac:dyDescent="0.2">
      <c r="A1005" s="57"/>
      <c r="B1005" s="57"/>
    </row>
    <row r="1006" spans="1:2" x14ac:dyDescent="0.2">
      <c r="A1006" s="57"/>
      <c r="B1006" s="57"/>
    </row>
    <row r="1007" spans="1:2" x14ac:dyDescent="0.2">
      <c r="A1007" s="57"/>
      <c r="B1007" s="57"/>
    </row>
    <row r="1008" spans="1:2" x14ac:dyDescent="0.2">
      <c r="A1008" s="57"/>
      <c r="B1008" s="57"/>
    </row>
    <row r="1009" spans="1:2" x14ac:dyDescent="0.2">
      <c r="A1009" s="57"/>
      <c r="B1009" s="57"/>
    </row>
    <row r="1010" spans="1:2" x14ac:dyDescent="0.2">
      <c r="A1010" s="57"/>
      <c r="B1010" s="57"/>
    </row>
    <row r="1011" spans="1:2" x14ac:dyDescent="0.2">
      <c r="A1011" s="57"/>
      <c r="B1011" s="57"/>
    </row>
    <row r="1012" spans="1:2" x14ac:dyDescent="0.2">
      <c r="A1012" s="57"/>
      <c r="B1012" s="57"/>
    </row>
    <row r="1013" spans="1:2" x14ac:dyDescent="0.2">
      <c r="A1013" s="57"/>
      <c r="B1013" s="57"/>
    </row>
    <row r="1014" spans="1:2" x14ac:dyDescent="0.2">
      <c r="A1014" s="57"/>
      <c r="B1014" s="57"/>
    </row>
    <row r="1015" spans="1:2" x14ac:dyDescent="0.2">
      <c r="A1015" s="57"/>
      <c r="B1015" s="57"/>
    </row>
    <row r="1016" spans="1:2" x14ac:dyDescent="0.2">
      <c r="A1016" s="57"/>
      <c r="B1016" s="57"/>
    </row>
    <row r="1017" spans="1:2" x14ac:dyDescent="0.2">
      <c r="A1017" s="57"/>
      <c r="B1017" s="57"/>
    </row>
    <row r="1018" spans="1:2" x14ac:dyDescent="0.2">
      <c r="A1018" s="57"/>
      <c r="B1018" s="57"/>
    </row>
    <row r="1019" spans="1:2" x14ac:dyDescent="0.2">
      <c r="A1019" s="57"/>
      <c r="B1019" s="57"/>
    </row>
    <row r="1020" spans="1:2" x14ac:dyDescent="0.2">
      <c r="A1020" s="57"/>
      <c r="B1020" s="57"/>
    </row>
  </sheetData>
  <mergeCells count="1">
    <mergeCell ref="U6:V6"/>
  </mergeCells>
  <conditionalFormatting sqref="H11:J40">
    <cfRule type="expression" dxfId="5" priority="1">
      <formula>ISERROR($H11)</formula>
    </cfRule>
  </conditionalFormatting>
  <dataValidations count="1">
    <dataValidation type="list" allowBlank="1" showInputMessage="1" showErrorMessage="1" sqref="L14">
      <formula1>$L$5:$L$11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20"/>
  <sheetViews>
    <sheetView zoomScale="90" zoomScaleNormal="90" workbookViewId="0">
      <selection activeCell="G14" sqref="G14"/>
    </sheetView>
  </sheetViews>
  <sheetFormatPr defaultColWidth="11.42578125" defaultRowHeight="12.75" x14ac:dyDescent="0.2"/>
  <cols>
    <col min="1" max="1" width="16.140625" style="3" customWidth="1"/>
    <col min="2" max="2" width="17.5703125" style="3" customWidth="1"/>
    <col min="3" max="4" width="5.7109375" style="1" customWidth="1"/>
    <col min="5" max="5" width="7.5703125" style="3" bestFit="1" customWidth="1"/>
    <col min="6" max="6" width="18.42578125" style="1" customWidth="1"/>
    <col min="7" max="9" width="11.42578125" style="1"/>
    <col min="10" max="10" width="5.85546875" style="1" customWidth="1"/>
    <col min="11" max="11" width="17.85546875" style="1" bestFit="1" customWidth="1"/>
    <col min="12" max="13" width="14.140625" style="1" bestFit="1" customWidth="1"/>
    <col min="14" max="17" width="11.42578125" style="1"/>
    <col min="18" max="18" width="5.5703125" style="1" customWidth="1"/>
    <col min="19" max="19" width="5.140625" style="1" customWidth="1"/>
    <col min="20" max="20" width="15.42578125" style="37" customWidth="1"/>
    <col min="21" max="21" width="13.140625" style="1" bestFit="1" customWidth="1"/>
    <col min="22" max="16384" width="11.42578125" style="1"/>
  </cols>
  <sheetData>
    <row r="2" spans="1:21" ht="33" customHeight="1" x14ac:dyDescent="0.2">
      <c r="A2" s="56" t="s">
        <v>39</v>
      </c>
      <c r="B2" s="58" t="s">
        <v>95</v>
      </c>
      <c r="D2" s="55" t="str">
        <f>"Fréquence des "&amp;tblDataOAT[[#Headers],[Taux de rentabilité OAT]]</f>
        <v>Fréquence des Taux de rentabilité OAT</v>
      </c>
      <c r="F2" s="26" t="s">
        <v>26</v>
      </c>
      <c r="G2" s="31">
        <f>U18</f>
        <v>0.37079999999999996</v>
      </c>
      <c r="K2" s="34" t="s">
        <v>10</v>
      </c>
      <c r="L2" s="35">
        <f>COUNT(tblDataOAT[Taux de rentabilité OAT])</f>
        <v>53</v>
      </c>
      <c r="N2" s="36"/>
    </row>
    <row r="3" spans="1:21" x14ac:dyDescent="0.2">
      <c r="A3" s="57" t="s">
        <v>42</v>
      </c>
      <c r="B3" s="20">
        <v>1.0190000000000001</v>
      </c>
      <c r="F3" s="26" t="s">
        <v>27</v>
      </c>
      <c r="G3" s="31">
        <f>U13</f>
        <v>1.2487999999999999</v>
      </c>
      <c r="H3" s="25"/>
      <c r="I3" s="25"/>
      <c r="L3" s="3"/>
    </row>
    <row r="4" spans="1:21" x14ac:dyDescent="0.2">
      <c r="A4" s="57" t="s">
        <v>43</v>
      </c>
      <c r="B4" s="20">
        <v>1.0174000000000001</v>
      </c>
      <c r="F4" s="19" t="s">
        <v>23</v>
      </c>
      <c r="G4" s="18">
        <f>G3-G2</f>
        <v>0.87799999999999989</v>
      </c>
      <c r="H4" s="25"/>
      <c r="I4" s="25"/>
      <c r="K4" s="39" t="s">
        <v>13</v>
      </c>
      <c r="L4" s="40" t="s">
        <v>12</v>
      </c>
    </row>
    <row r="5" spans="1:21" x14ac:dyDescent="0.2">
      <c r="A5" s="57" t="s">
        <v>44</v>
      </c>
      <c r="B5" s="20">
        <v>0.93580000000000008</v>
      </c>
      <c r="F5" s="19" t="s">
        <v>24</v>
      </c>
      <c r="G5" s="18">
        <f>G4/L14</f>
        <v>0.12542857142857142</v>
      </c>
      <c r="H5" s="25"/>
      <c r="I5" s="25"/>
      <c r="K5" s="41" t="s">
        <v>14</v>
      </c>
      <c r="L5" s="42">
        <f>INT(SQRT(L2)+1)</f>
        <v>8</v>
      </c>
    </row>
    <row r="6" spans="1:21" x14ac:dyDescent="0.2">
      <c r="A6" s="57" t="s">
        <v>45</v>
      </c>
      <c r="B6" s="20">
        <v>0.88200000000000001</v>
      </c>
      <c r="F6" s="27" t="s">
        <v>38</v>
      </c>
      <c r="G6" s="35">
        <f>COUNTIFS(tblDataOAT[Taux de rentabilité OAT],"&lt;="&amp;G3,tblDataOAT[Taux de rentabilité OAT],"&gt;="&amp;G2)</f>
        <v>53</v>
      </c>
      <c r="H6" s="25"/>
      <c r="I6" s="25"/>
      <c r="K6" s="43" t="s">
        <v>11</v>
      </c>
      <c r="L6" s="44">
        <f>INT(1 + LOG(L2,2))</f>
        <v>6</v>
      </c>
      <c r="T6" s="45" t="s">
        <v>31</v>
      </c>
      <c r="U6" s="45"/>
    </row>
    <row r="7" spans="1:21" x14ac:dyDescent="0.2">
      <c r="A7" s="57" t="s">
        <v>46</v>
      </c>
      <c r="B7" s="20">
        <v>0.85697944660000014</v>
      </c>
      <c r="F7" s="65" t="s">
        <v>99</v>
      </c>
      <c r="G7" s="66">
        <f>_xlfn.STDEV.S(tblDataOAT[Taux de rentabilité OAT])</f>
        <v>0.23004006345819125</v>
      </c>
      <c r="K7" s="43" t="s">
        <v>15</v>
      </c>
      <c r="L7" s="44">
        <f>INT(2*L2^(1/3))</f>
        <v>7</v>
      </c>
      <c r="M7" s="3"/>
    </row>
    <row r="8" spans="1:21" x14ac:dyDescent="0.2">
      <c r="A8" s="57" t="s">
        <v>47</v>
      </c>
      <c r="B8" s="20">
        <v>0.81697944659999988</v>
      </c>
      <c r="F8" s="65" t="s">
        <v>96</v>
      </c>
      <c r="G8" s="63">
        <f>AVERAGE(tblDataOAT[Taux de rentabilité OAT])</f>
        <v>0.84861537772452822</v>
      </c>
      <c r="K8" s="43" t="s">
        <v>16</v>
      </c>
      <c r="L8" s="44">
        <f>INT(1+LOG(L2,2)+LOG(1+O8/Q8,2))</f>
        <v>7</v>
      </c>
      <c r="M8" s="46" t="s">
        <v>25</v>
      </c>
      <c r="N8" s="47" t="s">
        <v>19</v>
      </c>
      <c r="O8" s="48">
        <f>ABS(SKEW(tblDataOAT[Taux de rentabilité OAT]))</f>
        <v>0.26506256606171097</v>
      </c>
      <c r="P8" s="47" t="s">
        <v>18</v>
      </c>
      <c r="Q8" s="48">
        <f>SQRT((6*(L2-2))/((L2+1)*(L2+3)))</f>
        <v>0.31810450514017591</v>
      </c>
      <c r="T8" s="37" t="s">
        <v>30</v>
      </c>
      <c r="U8" s="1">
        <f>COUNT(tblDataOAT[Taux de rentabilité OAT])</f>
        <v>53</v>
      </c>
    </row>
    <row r="9" spans="1:21" x14ac:dyDescent="0.2">
      <c r="A9" s="57" t="s">
        <v>48</v>
      </c>
      <c r="B9" s="20">
        <v>0.77180000000000004</v>
      </c>
      <c r="K9" s="43" t="s">
        <v>17</v>
      </c>
      <c r="L9" s="44">
        <f>INT(3.5*_xlfn.STDEV.S(tblDataOAT[Taux de rentabilité OAT])/(L2^(1/3)))</f>
        <v>0</v>
      </c>
      <c r="M9" s="3"/>
      <c r="T9" s="37" t="s">
        <v>3</v>
      </c>
      <c r="U9" s="15">
        <f>U15-U17</f>
        <v>0.38179999999999992</v>
      </c>
    </row>
    <row r="10" spans="1:21" x14ac:dyDescent="0.2">
      <c r="A10" s="57" t="s">
        <v>49</v>
      </c>
      <c r="B10" s="20">
        <v>0.66700000000000004</v>
      </c>
      <c r="E10" s="21" t="s">
        <v>8</v>
      </c>
      <c r="F10" s="22" t="s">
        <v>9</v>
      </c>
      <c r="G10" s="22" t="s">
        <v>35</v>
      </c>
      <c r="H10" s="22" t="s">
        <v>36</v>
      </c>
      <c r="I10" s="12" t="s">
        <v>37</v>
      </c>
      <c r="K10" s="49" t="s">
        <v>21</v>
      </c>
      <c r="L10" s="44">
        <f>INT(2*O10/(L2^(1/3)))</f>
        <v>0</v>
      </c>
      <c r="M10" s="46" t="s">
        <v>25</v>
      </c>
      <c r="N10" s="47" t="s">
        <v>20</v>
      </c>
      <c r="O10" s="48">
        <f>_xlfn.QUARTILE.INC(tblDataOAT[Taux de rentabilité OAT],3) - _xlfn.QUARTILE.INC(tblDataOAT[Taux de rentabilité OAT],1)</f>
        <v>0.38179999999999992</v>
      </c>
      <c r="T10" s="37" t="s">
        <v>6</v>
      </c>
      <c r="U10" s="50">
        <v>1.5</v>
      </c>
    </row>
    <row r="11" spans="1:21" x14ac:dyDescent="0.2">
      <c r="A11" s="57" t="s">
        <v>50</v>
      </c>
      <c r="B11" s="20">
        <v>0.61919999999999997</v>
      </c>
      <c r="E11" s="8">
        <v>1</v>
      </c>
      <c r="F11" s="23">
        <f>G2</f>
        <v>0.37079999999999996</v>
      </c>
      <c r="G11" s="9">
        <f t="array" ref="G11:G40">FREQUENCY(tblDataOAT[Taux de rentabilité OAT],F11:F40)</f>
        <v>1</v>
      </c>
      <c r="H11" s="13">
        <f>IF(E11&lt;&gt;"",G11/$G$6,"")</f>
        <v>1.8867924528301886E-2</v>
      </c>
      <c r="I11" s="28">
        <f>H11</f>
        <v>1.8867924528301886E-2</v>
      </c>
      <c r="K11" s="51" t="s">
        <v>34</v>
      </c>
      <c r="L11" s="52">
        <v>15</v>
      </c>
    </row>
    <row r="12" spans="1:21" x14ac:dyDescent="0.2">
      <c r="A12" s="57" t="s">
        <v>51</v>
      </c>
      <c r="B12" s="20">
        <v>0.56920000000000004</v>
      </c>
      <c r="E12" s="8">
        <f>IFERROR(IF(E11-2&lt;$L$14,E11+1,""),"")</f>
        <v>2</v>
      </c>
      <c r="F12" s="23">
        <f>IFERROR(IF(F11+$G$5&gt;$G$3+$G$5,"",F11+$G$5),"")</f>
        <v>0.49622857142857135</v>
      </c>
      <c r="G12" s="9">
        <v>3</v>
      </c>
      <c r="H12" s="13">
        <f>IF(E12&lt;&gt;"",G12/$G$6,"")</f>
        <v>5.6603773584905662E-2</v>
      </c>
      <c r="I12" s="28">
        <f>IF(H12&lt;&gt;"",H12+I11,"")</f>
        <v>7.5471698113207544E-2</v>
      </c>
      <c r="T12" s="4" t="s">
        <v>29</v>
      </c>
      <c r="U12" s="16">
        <f>COUNTIF(tblDataOAT[Taux de rentabilité OAT],"&gt;"&amp;U13)</f>
        <v>0</v>
      </c>
    </row>
    <row r="13" spans="1:21" x14ac:dyDescent="0.2">
      <c r="A13" s="57" t="s">
        <v>52</v>
      </c>
      <c r="B13" s="20">
        <v>0.5978</v>
      </c>
      <c r="E13" s="8">
        <f t="shared" ref="E13:E40" si="0">IFERROR(IF(E12-2&lt;$L$14,E12+1,""),"")</f>
        <v>3</v>
      </c>
      <c r="F13" s="23">
        <f>IFERROR(IF(F12+$G$5&gt;$G$3+$G$5,"",F12+$G$5),"")</f>
        <v>0.6216571428571428</v>
      </c>
      <c r="G13" s="9">
        <v>8</v>
      </c>
      <c r="H13" s="13">
        <f>IF(E13&lt;&gt;"",G13/$G$6,"")</f>
        <v>0.15094339622641509</v>
      </c>
      <c r="I13" s="28">
        <f>IF(H13&lt;&gt;"",H13+I12,"")</f>
        <v>0.22641509433962265</v>
      </c>
      <c r="K13" s="34" t="s">
        <v>22</v>
      </c>
      <c r="L13" s="12" t="s">
        <v>12</v>
      </c>
      <c r="T13" s="4" t="s">
        <v>27</v>
      </c>
      <c r="U13" s="17">
        <f>U14</f>
        <v>1.2487999999999999</v>
      </c>
    </row>
    <row r="14" spans="1:21" x14ac:dyDescent="0.2">
      <c r="A14" s="57" t="s">
        <v>53</v>
      </c>
      <c r="B14" s="20">
        <v>0.61380000000000001</v>
      </c>
      <c r="E14" s="8">
        <f t="shared" si="0"/>
        <v>4</v>
      </c>
      <c r="F14" s="23">
        <f>IFERROR(IF(F13+$G$5&gt;$G$3+$G$5,"",F13+$G$5),"")</f>
        <v>0.74708571428571424</v>
      </c>
      <c r="G14" s="9">
        <v>4</v>
      </c>
      <c r="H14" s="13">
        <f>IF(E14&lt;&gt;"",G14/$G$6,"")</f>
        <v>7.5471698113207544E-2</v>
      </c>
      <c r="I14" s="28">
        <f>IF(H14&lt;&gt;"",H14+I13,"")</f>
        <v>0.30188679245283018</v>
      </c>
      <c r="K14" s="50" t="s">
        <v>15</v>
      </c>
      <c r="L14" s="53">
        <f>VLOOKUP($K$14,$K$5:$L$11,2,FALSE)</f>
        <v>7</v>
      </c>
      <c r="T14" s="4" t="s">
        <v>1</v>
      </c>
      <c r="U14" s="17">
        <f>MAX(tblDataOAT[Taux de rentabilité OAT])</f>
        <v>1.2487999999999999</v>
      </c>
    </row>
    <row r="15" spans="1:21" x14ac:dyDescent="0.2">
      <c r="A15" s="57" t="s">
        <v>54</v>
      </c>
      <c r="B15" s="20">
        <v>0.62739999999999996</v>
      </c>
      <c r="E15" s="8">
        <f t="shared" si="0"/>
        <v>5</v>
      </c>
      <c r="F15" s="23">
        <f>IFERROR(IF(F14+$G$5&gt;$G$3+$G$5,"",F14+$G$5),"")</f>
        <v>0.87251428571428569</v>
      </c>
      <c r="G15" s="9">
        <v>10</v>
      </c>
      <c r="H15" s="13">
        <f>IF(E15&lt;&gt;"",G15/$G$6,"")</f>
        <v>0.18867924528301888</v>
      </c>
      <c r="I15" s="28">
        <f t="shared" ref="I15:I40" si="1">IF(H15&lt;&gt;"",H15+I14,"")</f>
        <v>0.49056603773584906</v>
      </c>
      <c r="T15" s="4" t="s">
        <v>2</v>
      </c>
      <c r="U15" s="17">
        <f>_xlfn.QUARTILE.INC(tblDataOAT[Taux de rentabilité OAT],3)</f>
        <v>1.0091999999999999</v>
      </c>
    </row>
    <row r="16" spans="1:21" x14ac:dyDescent="0.2">
      <c r="A16" s="57" t="s">
        <v>55</v>
      </c>
      <c r="B16" s="20">
        <v>0.55280000000000007</v>
      </c>
      <c r="E16" s="8">
        <f t="shared" si="0"/>
        <v>6</v>
      </c>
      <c r="F16" s="23">
        <f>IFERROR(IF(F15+$G$5&gt;$G$3+$G$5,"",F15+$G$5),"")</f>
        <v>0.99794285714285713</v>
      </c>
      <c r="G16" s="9">
        <v>12</v>
      </c>
      <c r="H16" s="13">
        <f>IF(E16&lt;&gt;"",G16/$G$6,"")</f>
        <v>0.22641509433962265</v>
      </c>
      <c r="I16" s="28">
        <f t="shared" si="1"/>
        <v>0.71698113207547176</v>
      </c>
      <c r="T16" s="4" t="s">
        <v>7</v>
      </c>
      <c r="U16" s="17">
        <f>_xlfn.QUARTILE.INC(tblDataOAT[Taux de rentabilité OAT],2)</f>
        <v>0.88200000000000001</v>
      </c>
    </row>
    <row r="17" spans="1:21" x14ac:dyDescent="0.2">
      <c r="A17" s="57" t="s">
        <v>56</v>
      </c>
      <c r="B17" s="20">
        <v>0.59860000000000002</v>
      </c>
      <c r="E17" s="8">
        <f t="shared" si="0"/>
        <v>7</v>
      </c>
      <c r="F17" s="23">
        <f>IFERROR(IF(F16+$G$5&gt;$G$3+$G$5,"",F16+$G$5),"")</f>
        <v>1.1233714285714285</v>
      </c>
      <c r="G17" s="9">
        <v>8</v>
      </c>
      <c r="H17" s="13">
        <f>IF(E17&lt;&gt;"",G17/$G$6,"")</f>
        <v>0.15094339622641509</v>
      </c>
      <c r="I17" s="28">
        <f t="shared" si="1"/>
        <v>0.86792452830188682</v>
      </c>
      <c r="T17" s="4" t="s">
        <v>4</v>
      </c>
      <c r="U17" s="17">
        <f>_xlfn.QUARTILE.INC(tblDataOAT[Taux de rentabilité OAT],1)</f>
        <v>0.62739999999999996</v>
      </c>
    </row>
    <row r="18" spans="1:21" x14ac:dyDescent="0.2">
      <c r="A18" s="57" t="s">
        <v>57</v>
      </c>
      <c r="B18" s="20">
        <v>0.5265794466</v>
      </c>
      <c r="E18" s="8">
        <f t="shared" si="0"/>
        <v>8</v>
      </c>
      <c r="F18" s="23">
        <f>IFERROR(IF(F17+$G$5&gt;$G$3+$G$5,"",F17+$G$5),"")</f>
        <v>1.2487999999999999</v>
      </c>
      <c r="G18" s="9">
        <v>7</v>
      </c>
      <c r="H18" s="13">
        <f>IF(E18&lt;&gt;"",G18/$G$6,"")</f>
        <v>0.13207547169811321</v>
      </c>
      <c r="I18" s="28">
        <f t="shared" si="1"/>
        <v>1</v>
      </c>
      <c r="T18" s="4" t="s">
        <v>0</v>
      </c>
      <c r="U18" s="17">
        <f>MIN(tblDataOAT[Taux de rentabilité OAT])</f>
        <v>0.37079999999999996</v>
      </c>
    </row>
    <row r="19" spans="1:21" x14ac:dyDescent="0.2">
      <c r="A19" s="57" t="s">
        <v>58</v>
      </c>
      <c r="B19" s="20">
        <v>0.46699999999999997</v>
      </c>
      <c r="E19" s="8">
        <f t="shared" si="0"/>
        <v>9</v>
      </c>
      <c r="F19" s="23">
        <f>IFERROR(IF(F18+$G$5&gt;$G$3+$G$5,"",F18+$G$5),"")</f>
        <v>1.3742285714285714</v>
      </c>
      <c r="G19" s="9">
        <v>0</v>
      </c>
      <c r="H19" s="13">
        <f>IF(E19&lt;&gt;"",G19/$G$6,"")</f>
        <v>0</v>
      </c>
      <c r="I19" s="28">
        <f t="shared" si="1"/>
        <v>1</v>
      </c>
      <c r="T19" s="4" t="s">
        <v>26</v>
      </c>
      <c r="U19" s="17">
        <f>U18</f>
        <v>0.37079999999999996</v>
      </c>
    </row>
    <row r="20" spans="1:21" x14ac:dyDescent="0.2">
      <c r="A20" s="57" t="s">
        <v>59</v>
      </c>
      <c r="B20" s="20">
        <v>0.50639999999999996</v>
      </c>
      <c r="E20" s="8" t="str">
        <f t="shared" si="0"/>
        <v/>
      </c>
      <c r="F20" s="23" t="str">
        <f>IFERROR(IF(F19+$G$5&gt;$G$3+$G$5,"",F19+$G$5),"")</f>
        <v/>
      </c>
      <c r="G20" s="9">
        <v>0</v>
      </c>
      <c r="H20" s="13" t="str">
        <f>IF(E20&lt;&gt;"",G20/$G$6,"")</f>
        <v/>
      </c>
      <c r="I20" s="28" t="str">
        <f t="shared" si="1"/>
        <v/>
      </c>
      <c r="T20" s="4" t="s">
        <v>28</v>
      </c>
      <c r="U20" s="16">
        <f>COUNTIF(tblDataOAT[Taux de rentabilité OAT],"&lt;"&amp;U19)</f>
        <v>0</v>
      </c>
    </row>
    <row r="21" spans="1:21" x14ac:dyDescent="0.2">
      <c r="A21" s="57" t="s">
        <v>60</v>
      </c>
      <c r="B21" s="20">
        <v>0.62295889319999986</v>
      </c>
      <c r="E21" s="8" t="str">
        <f t="shared" si="0"/>
        <v/>
      </c>
      <c r="F21" s="23" t="str">
        <f>IFERROR(IF(F20+$G$5&gt;$G$3+$G$5,"",F20+$G$5),"")</f>
        <v/>
      </c>
      <c r="G21" s="9" t="e">
        <v>#N/A</v>
      </c>
      <c r="H21" s="13" t="str">
        <f>IF(E21&lt;&gt;"",G21/$G$6,"")</f>
        <v/>
      </c>
      <c r="I21" s="28" t="str">
        <f t="shared" si="1"/>
        <v/>
      </c>
    </row>
    <row r="22" spans="1:21" x14ac:dyDescent="0.2">
      <c r="A22" s="57" t="s">
        <v>61</v>
      </c>
      <c r="B22" s="20">
        <v>0.44919999999999999</v>
      </c>
      <c r="E22" s="8" t="str">
        <f t="shared" si="0"/>
        <v/>
      </c>
      <c r="F22" s="23" t="str">
        <f>IFERROR(IF(F21+$G$5&gt;$G$3+$G$5,"",F21+$G$5),"")</f>
        <v/>
      </c>
      <c r="G22" s="9" t="e">
        <v>#N/A</v>
      </c>
      <c r="H22" s="13" t="str">
        <f>IF(E22&lt;&gt;"",G22/$G$6,"")</f>
        <v/>
      </c>
      <c r="I22" s="28" t="str">
        <f t="shared" si="1"/>
        <v/>
      </c>
      <c r="T22" s="54" t="s">
        <v>5</v>
      </c>
      <c r="U22" s="15">
        <f>AVERAGE(tblDataOAT[Taux de rentabilité OAT])</f>
        <v>0.84861537772452822</v>
      </c>
    </row>
    <row r="23" spans="1:21" x14ac:dyDescent="0.2">
      <c r="A23" s="57" t="s">
        <v>62</v>
      </c>
      <c r="B23" s="20">
        <v>0.37079999999999996</v>
      </c>
      <c r="E23" s="8" t="str">
        <f t="shared" si="0"/>
        <v/>
      </c>
      <c r="F23" s="23" t="str">
        <f>IFERROR(IF(F22+$G$5&gt;$G$3+$G$5,"",F22+$G$5),"")</f>
        <v/>
      </c>
      <c r="G23" s="9" t="e">
        <v>#N/A</v>
      </c>
      <c r="H23" s="13" t="str">
        <f>IF(E23&lt;&gt;"",G23/$G$6,"")</f>
        <v/>
      </c>
      <c r="I23" s="28" t="str">
        <f t="shared" si="1"/>
        <v/>
      </c>
      <c r="T23" s="54" t="s">
        <v>32</v>
      </c>
      <c r="U23" s="15" t="e">
        <f>_xlfn.MODE.SNGL(tblDataOAT[Taux de rentabilité OAT])</f>
        <v>#N/A</v>
      </c>
    </row>
    <row r="24" spans="1:21" x14ac:dyDescent="0.2">
      <c r="A24" s="57" t="s">
        <v>63</v>
      </c>
      <c r="B24" s="20">
        <v>0.40899999999999997</v>
      </c>
      <c r="E24" s="8" t="str">
        <f t="shared" si="0"/>
        <v/>
      </c>
      <c r="F24" s="23" t="str">
        <f>IFERROR(IF(F23+$G$5&gt;$G$3+$G$5,"",F23+$G$5),"")</f>
        <v/>
      </c>
      <c r="G24" s="9" t="e">
        <v>#N/A</v>
      </c>
      <c r="H24" s="13" t="str">
        <f>IF(E24&lt;&gt;"",G24/$G$6,"")</f>
        <v/>
      </c>
      <c r="I24" s="28" t="str">
        <f t="shared" si="1"/>
        <v/>
      </c>
      <c r="T24" s="38" t="s">
        <v>33</v>
      </c>
      <c r="U24" s="1">
        <f>COUNTIF(tblDataOAT[Taux de rentabilité OAT],U23)</f>
        <v>0</v>
      </c>
    </row>
    <row r="25" spans="1:21" x14ac:dyDescent="0.2">
      <c r="A25" s="57" t="s">
        <v>64</v>
      </c>
      <c r="B25" s="20">
        <v>0.63977944659999997</v>
      </c>
      <c r="E25" s="8" t="str">
        <f t="shared" si="0"/>
        <v/>
      </c>
      <c r="F25" s="23" t="str">
        <f>IFERROR(IF(F24+$G$5&gt;$G$3+$G$5,"",F24+$G$5),"")</f>
        <v/>
      </c>
      <c r="G25" s="9" t="e">
        <v>#N/A</v>
      </c>
      <c r="H25" s="13" t="str">
        <f>IF(E25&lt;&gt;"",G25/$G$6,"")</f>
        <v/>
      </c>
      <c r="I25" s="28" t="str">
        <f t="shared" si="1"/>
        <v/>
      </c>
      <c r="U25" s="14"/>
    </row>
    <row r="26" spans="1:21" x14ac:dyDescent="0.2">
      <c r="A26" s="57" t="s">
        <v>65</v>
      </c>
      <c r="B26" s="20">
        <v>0.87240000000000006</v>
      </c>
      <c r="E26" s="8" t="str">
        <f t="shared" si="0"/>
        <v/>
      </c>
      <c r="F26" s="23" t="str">
        <f>IFERROR(IF(F25+$G$5&gt;$G$3+$G$5,"",F25+$G$5),"")</f>
        <v/>
      </c>
      <c r="G26" s="9" t="e">
        <v>#N/A</v>
      </c>
      <c r="H26" s="13" t="str">
        <f>IF(E26&lt;&gt;"",G26/$G$6,"")</f>
        <v/>
      </c>
      <c r="I26" s="28" t="str">
        <f t="shared" si="1"/>
        <v/>
      </c>
      <c r="U26" s="14"/>
    </row>
    <row r="27" spans="1:21" x14ac:dyDescent="0.2">
      <c r="A27" s="57" t="s">
        <v>66</v>
      </c>
      <c r="B27" s="20">
        <v>0.96020000000000005</v>
      </c>
      <c r="E27" s="8" t="str">
        <f t="shared" si="0"/>
        <v/>
      </c>
      <c r="F27" s="23" t="str">
        <f>IFERROR(IF(F26+$G$5&gt;$G$3+$G$5,"",F26+$G$5),"")</f>
        <v/>
      </c>
      <c r="G27" s="9" t="e">
        <v>#N/A</v>
      </c>
      <c r="H27" s="13" t="str">
        <f>IF(E27&lt;&gt;"",G27/$G$6,"")</f>
        <v/>
      </c>
      <c r="I27" s="28" t="str">
        <f t="shared" si="1"/>
        <v/>
      </c>
      <c r="U27" s="14"/>
    </row>
    <row r="28" spans="1:21" x14ac:dyDescent="0.2">
      <c r="A28" s="57" t="s">
        <v>67</v>
      </c>
      <c r="B28" s="20">
        <v>0.90500000000000003</v>
      </c>
      <c r="E28" s="8" t="str">
        <f t="shared" si="0"/>
        <v/>
      </c>
      <c r="F28" s="23" t="str">
        <f>IFERROR(IF(F27+$G$5&gt;$G$3+$G$5,"",F27+$G$5),"")</f>
        <v/>
      </c>
      <c r="G28" s="9" t="e">
        <v>#N/A</v>
      </c>
      <c r="H28" s="13" t="str">
        <f>IF(E28&lt;&gt;"",G28/$G$6,"")</f>
        <v/>
      </c>
      <c r="I28" s="28" t="str">
        <f t="shared" si="1"/>
        <v/>
      </c>
      <c r="U28" s="14"/>
    </row>
    <row r="29" spans="1:21" x14ac:dyDescent="0.2">
      <c r="A29" s="57" t="s">
        <v>68</v>
      </c>
      <c r="B29" s="20">
        <v>0.84079999999999999</v>
      </c>
      <c r="E29" s="8" t="str">
        <f t="shared" si="0"/>
        <v/>
      </c>
      <c r="F29" s="23" t="str">
        <f>IFERROR(IF(F28+$G$5&gt;$G$3+$G$5,"",F28+$G$5),"")</f>
        <v/>
      </c>
      <c r="G29" s="9" t="e">
        <v>#N/A</v>
      </c>
      <c r="H29" s="13" t="str">
        <f>IF(E29&lt;&gt;"",G29/$G$6,"")</f>
        <v/>
      </c>
      <c r="I29" s="28" t="str">
        <f t="shared" si="1"/>
        <v/>
      </c>
      <c r="U29" s="14"/>
    </row>
    <row r="30" spans="1:21" x14ac:dyDescent="0.2">
      <c r="A30" s="57" t="s">
        <v>69</v>
      </c>
      <c r="B30" s="20">
        <v>1.1393999999999997</v>
      </c>
      <c r="E30" s="8" t="str">
        <f t="shared" si="0"/>
        <v/>
      </c>
      <c r="F30" s="23" t="str">
        <f>IFERROR(IF(F29+$G$5&gt;$G$3+$G$5,"",F29+$G$5),"")</f>
        <v/>
      </c>
      <c r="G30" s="9" t="e">
        <v>#N/A</v>
      </c>
      <c r="H30" s="13" t="str">
        <f>IF(E30&lt;&gt;"",G30/$G$6,"")</f>
        <v/>
      </c>
      <c r="I30" s="28" t="str">
        <f t="shared" si="1"/>
        <v/>
      </c>
      <c r="U30" s="14"/>
    </row>
    <row r="31" spans="1:21" x14ac:dyDescent="0.2">
      <c r="A31" s="57" t="s">
        <v>70</v>
      </c>
      <c r="B31" s="20">
        <v>1.1811794465999998</v>
      </c>
      <c r="E31" s="8" t="str">
        <f t="shared" si="0"/>
        <v/>
      </c>
      <c r="F31" s="23" t="str">
        <f>IFERROR(IF(F30+$G$5&gt;$G$3+$G$5,"",F30+$G$5),"")</f>
        <v/>
      </c>
      <c r="G31" s="9" t="e">
        <v>#N/A</v>
      </c>
      <c r="H31" s="13" t="str">
        <f>IF(E31&lt;&gt;"",G31/$G$6,"")</f>
        <v/>
      </c>
      <c r="I31" s="28" t="str">
        <f t="shared" si="1"/>
        <v/>
      </c>
      <c r="U31" s="14"/>
    </row>
    <row r="32" spans="1:21" x14ac:dyDescent="0.2">
      <c r="A32" s="57" t="s">
        <v>71</v>
      </c>
      <c r="B32" s="20">
        <v>1.2174</v>
      </c>
      <c r="E32" s="8" t="str">
        <f t="shared" si="0"/>
        <v/>
      </c>
      <c r="F32" s="23" t="str">
        <f>IFERROR(IF(F31+$G$5&gt;$G$3+$G$5,"",F31+$G$5),"")</f>
        <v/>
      </c>
      <c r="G32" s="9" t="e">
        <v>#N/A</v>
      </c>
      <c r="H32" s="13" t="str">
        <f>IF(E32&lt;&gt;"",G32/$G$6,"")</f>
        <v/>
      </c>
      <c r="I32" s="28" t="str">
        <f t="shared" si="1"/>
        <v/>
      </c>
      <c r="U32" s="14"/>
    </row>
    <row r="33" spans="1:21" x14ac:dyDescent="0.2">
      <c r="A33" s="57" t="s">
        <v>72</v>
      </c>
      <c r="B33" s="20">
        <v>1.2440000000000002</v>
      </c>
      <c r="E33" s="8" t="str">
        <f t="shared" si="0"/>
        <v/>
      </c>
      <c r="F33" s="23" t="str">
        <f>IFERROR(IF(F32+$G$5&gt;$G$3+$G$5,"",F32+$G$5),"")</f>
        <v/>
      </c>
      <c r="G33" s="9" t="e">
        <v>#N/A</v>
      </c>
      <c r="H33" s="13" t="str">
        <f>IF(E33&lt;&gt;"",G33/$G$6,"")</f>
        <v/>
      </c>
      <c r="I33" s="28" t="str">
        <f t="shared" si="1"/>
        <v/>
      </c>
      <c r="U33" s="14"/>
    </row>
    <row r="34" spans="1:21" x14ac:dyDescent="0.2">
      <c r="A34" s="57" t="s">
        <v>73</v>
      </c>
      <c r="B34" s="20">
        <v>1.2487999999999999</v>
      </c>
      <c r="E34" s="8" t="str">
        <f t="shared" si="0"/>
        <v/>
      </c>
      <c r="F34" s="23" t="str">
        <f>IFERROR(IF(F33+$G$5&gt;$G$3+$G$5,"",F33+$G$5),"")</f>
        <v/>
      </c>
      <c r="G34" s="9" t="e">
        <v>#N/A</v>
      </c>
      <c r="H34" s="13" t="str">
        <f>IF(E34&lt;&gt;"",G34/$G$6,"")</f>
        <v/>
      </c>
      <c r="I34" s="28" t="str">
        <f t="shared" si="1"/>
        <v/>
      </c>
    </row>
    <row r="35" spans="1:21" x14ac:dyDescent="0.2">
      <c r="A35" s="57" t="s">
        <v>74</v>
      </c>
      <c r="B35" s="20">
        <v>1.1902000000000001</v>
      </c>
      <c r="E35" s="8" t="str">
        <f t="shared" si="0"/>
        <v/>
      </c>
      <c r="F35" s="23" t="str">
        <f>IFERROR(IF(F34+$G$5&gt;$G$3+$G$5,"",F34+$G$5),"")</f>
        <v/>
      </c>
      <c r="G35" s="9" t="e">
        <v>#N/A</v>
      </c>
      <c r="H35" s="13" t="str">
        <f>IF(E35&lt;&gt;"",G35/$G$6,"")</f>
        <v/>
      </c>
      <c r="I35" s="28" t="str">
        <f t="shared" si="1"/>
        <v/>
      </c>
    </row>
    <row r="36" spans="1:21" x14ac:dyDescent="0.2">
      <c r="A36" s="57" t="s">
        <v>75</v>
      </c>
      <c r="B36" s="20">
        <v>1.1244000000000001</v>
      </c>
      <c r="E36" s="8" t="str">
        <f t="shared" si="0"/>
        <v/>
      </c>
      <c r="F36" s="23" t="str">
        <f>IFERROR(IF(F35+$G$5&gt;$G$3+$G$5,"",F35+$G$5),"")</f>
        <v/>
      </c>
      <c r="G36" s="9" t="e">
        <v>#N/A</v>
      </c>
      <c r="H36" s="13" t="str">
        <f>IF(E36&lt;&gt;"",G36/$G$6,"")</f>
        <v/>
      </c>
      <c r="I36" s="28" t="str">
        <f t="shared" si="1"/>
        <v/>
      </c>
    </row>
    <row r="37" spans="1:21" x14ac:dyDescent="0.2">
      <c r="A37" s="57" t="s">
        <v>76</v>
      </c>
      <c r="B37" s="20">
        <v>1.0255999999999998</v>
      </c>
      <c r="E37" s="8" t="str">
        <f t="shared" si="0"/>
        <v/>
      </c>
      <c r="F37" s="23" t="str">
        <f>IFERROR(IF(F36+$G$5&gt;$G$3+$G$5,"",F36+$G$5),"")</f>
        <v/>
      </c>
      <c r="G37" s="9" t="e">
        <v>#N/A</v>
      </c>
      <c r="H37" s="13" t="str">
        <f>IF(E37&lt;&gt;"",G37/$G$6,"")</f>
        <v/>
      </c>
      <c r="I37" s="28" t="str">
        <f t="shared" si="1"/>
        <v/>
      </c>
    </row>
    <row r="38" spans="1:21" x14ac:dyDescent="0.2">
      <c r="A38" s="57" t="s">
        <v>77</v>
      </c>
      <c r="B38" s="20">
        <v>0.96120000000000005</v>
      </c>
      <c r="E38" s="8" t="str">
        <f t="shared" si="0"/>
        <v/>
      </c>
      <c r="F38" s="23" t="str">
        <f>IFERROR(IF(F37+$G$5&gt;$G$3+$G$5,"",F37+$G$5),"")</f>
        <v/>
      </c>
      <c r="G38" s="9" t="e">
        <v>#N/A</v>
      </c>
      <c r="H38" s="13" t="str">
        <f>IF(E38&lt;&gt;"",G38/$G$6,"")</f>
        <v/>
      </c>
      <c r="I38" s="28" t="str">
        <f t="shared" si="1"/>
        <v/>
      </c>
    </row>
    <row r="39" spans="1:21" x14ac:dyDescent="0.2">
      <c r="A39" s="57" t="s">
        <v>78</v>
      </c>
      <c r="B39" s="20">
        <v>1</v>
      </c>
      <c r="E39" s="8" t="str">
        <f t="shared" si="0"/>
        <v/>
      </c>
      <c r="F39" s="23" t="str">
        <f>IFERROR(IF(F38+$G$5&gt;$G$3+$G$5,"",F38+$G$5),"")</f>
        <v/>
      </c>
      <c r="G39" s="9" t="e">
        <v>#N/A</v>
      </c>
      <c r="H39" s="13" t="str">
        <f>IF(E39&lt;&gt;"",G39/$G$6,"")</f>
        <v/>
      </c>
      <c r="I39" s="28" t="str">
        <f t="shared" si="1"/>
        <v/>
      </c>
    </row>
    <row r="40" spans="1:21" x14ac:dyDescent="0.2">
      <c r="A40" s="57" t="s">
        <v>79</v>
      </c>
      <c r="B40" s="20">
        <v>0.89915889319999986</v>
      </c>
      <c r="E40" s="10" t="str">
        <f t="shared" si="0"/>
        <v/>
      </c>
      <c r="F40" s="24" t="str">
        <f>IFERROR(IF(F39+$G$5&gt;$G$3+$G$5,"",F39+$G$5),"")</f>
        <v/>
      </c>
      <c r="G40" s="11" t="e">
        <v>#N/A</v>
      </c>
      <c r="H40" s="29" t="str">
        <f>IF(E40&lt;&gt;"",G40/$G$6,"")</f>
        <v/>
      </c>
      <c r="I40" s="30" t="str">
        <f t="shared" si="1"/>
        <v/>
      </c>
    </row>
    <row r="41" spans="1:21" x14ac:dyDescent="0.2">
      <c r="A41" s="57" t="s">
        <v>80</v>
      </c>
      <c r="B41" s="20">
        <v>0.96239999999999992</v>
      </c>
    </row>
    <row r="42" spans="1:21" x14ac:dyDescent="0.2">
      <c r="A42" s="57" t="s">
        <v>81</v>
      </c>
      <c r="B42" s="20">
        <v>1.1088</v>
      </c>
    </row>
    <row r="43" spans="1:21" x14ac:dyDescent="0.2">
      <c r="A43" s="57" t="s">
        <v>82</v>
      </c>
      <c r="B43" s="20">
        <v>1.087</v>
      </c>
    </row>
    <row r="44" spans="1:21" x14ac:dyDescent="0.2">
      <c r="A44" s="57" t="s">
        <v>83</v>
      </c>
      <c r="B44" s="20">
        <v>1.0091999999999999</v>
      </c>
    </row>
    <row r="45" spans="1:21" x14ac:dyDescent="0.2">
      <c r="A45" s="57" t="s">
        <v>84</v>
      </c>
      <c r="B45" s="20">
        <v>1.0401999999999998</v>
      </c>
    </row>
    <row r="46" spans="1:21" x14ac:dyDescent="0.2">
      <c r="A46" s="57" t="s">
        <v>85</v>
      </c>
      <c r="B46" s="20">
        <v>0.92020000000000013</v>
      </c>
    </row>
    <row r="47" spans="1:21" x14ac:dyDescent="0.2">
      <c r="A47" s="57" t="s">
        <v>86</v>
      </c>
      <c r="B47" s="20">
        <v>0.86939999999999995</v>
      </c>
    </row>
    <row r="48" spans="1:21" x14ac:dyDescent="0.2">
      <c r="A48" s="57" t="s">
        <v>87</v>
      </c>
      <c r="B48" s="20">
        <v>0.8879999999999999</v>
      </c>
    </row>
    <row r="49" spans="1:2" x14ac:dyDescent="0.2">
      <c r="A49" s="57" t="s">
        <v>88</v>
      </c>
      <c r="B49" s="20">
        <v>0.84860000000000002</v>
      </c>
    </row>
    <row r="50" spans="1:2" x14ac:dyDescent="0.2">
      <c r="A50" s="57" t="s">
        <v>89</v>
      </c>
      <c r="B50" s="20">
        <v>0.89900000000000002</v>
      </c>
    </row>
    <row r="51" spans="1:2" x14ac:dyDescent="0.2">
      <c r="A51" s="57" t="s">
        <v>90</v>
      </c>
      <c r="B51" s="20">
        <v>0.85160000000000002</v>
      </c>
    </row>
    <row r="52" spans="1:2" x14ac:dyDescent="0.2">
      <c r="A52" s="57" t="s">
        <v>91</v>
      </c>
      <c r="B52" s="20">
        <v>0.97340000000000004</v>
      </c>
    </row>
    <row r="53" spans="1:2" x14ac:dyDescent="0.2">
      <c r="A53" s="57" t="s">
        <v>92</v>
      </c>
      <c r="B53" s="20">
        <v>0.90999999999999992</v>
      </c>
    </row>
    <row r="54" spans="1:2" x14ac:dyDescent="0.2">
      <c r="A54" s="57" t="s">
        <v>93</v>
      </c>
      <c r="B54" s="20">
        <v>0.8375999999999999</v>
      </c>
    </row>
    <row r="55" spans="1:2" x14ac:dyDescent="0.2">
      <c r="A55" s="57" t="s">
        <v>94</v>
      </c>
      <c r="B55" s="20">
        <v>0.82400000000000007</v>
      </c>
    </row>
    <row r="56" spans="1:2" x14ac:dyDescent="0.2">
      <c r="A56" s="57"/>
    </row>
    <row r="57" spans="1:2" x14ac:dyDescent="0.2">
      <c r="A57" s="57"/>
    </row>
    <row r="58" spans="1:2" x14ac:dyDescent="0.2">
      <c r="A58" s="57"/>
    </row>
    <row r="59" spans="1:2" x14ac:dyDescent="0.2">
      <c r="A59" s="57"/>
    </row>
    <row r="60" spans="1:2" x14ac:dyDescent="0.2">
      <c r="A60" s="57"/>
    </row>
    <row r="61" spans="1:2" x14ac:dyDescent="0.2">
      <c r="A61" s="57"/>
    </row>
    <row r="62" spans="1:2" x14ac:dyDescent="0.2">
      <c r="A62" s="57"/>
    </row>
    <row r="63" spans="1:2" x14ac:dyDescent="0.2">
      <c r="A63" s="57"/>
    </row>
    <row r="64" spans="1:2" x14ac:dyDescent="0.2">
      <c r="A64" s="57"/>
    </row>
    <row r="65" spans="1:1" x14ac:dyDescent="0.2">
      <c r="A65" s="57"/>
    </row>
    <row r="66" spans="1:1" x14ac:dyDescent="0.2">
      <c r="A66" s="57"/>
    </row>
    <row r="67" spans="1:1" x14ac:dyDescent="0.2">
      <c r="A67" s="57"/>
    </row>
    <row r="68" spans="1:1" x14ac:dyDescent="0.2">
      <c r="A68" s="57"/>
    </row>
    <row r="69" spans="1:1" x14ac:dyDescent="0.2">
      <c r="A69" s="57"/>
    </row>
    <row r="70" spans="1:1" x14ac:dyDescent="0.2">
      <c r="A70" s="57"/>
    </row>
    <row r="71" spans="1:1" x14ac:dyDescent="0.2">
      <c r="A71" s="57"/>
    </row>
    <row r="72" spans="1:1" x14ac:dyDescent="0.2">
      <c r="A72" s="57"/>
    </row>
    <row r="73" spans="1:1" x14ac:dyDescent="0.2">
      <c r="A73" s="57"/>
    </row>
    <row r="74" spans="1:1" x14ac:dyDescent="0.2">
      <c r="A74" s="57"/>
    </row>
    <row r="75" spans="1:1" x14ac:dyDescent="0.2">
      <c r="A75" s="57"/>
    </row>
    <row r="76" spans="1:1" x14ac:dyDescent="0.2">
      <c r="A76" s="57"/>
    </row>
    <row r="77" spans="1:1" x14ac:dyDescent="0.2">
      <c r="A77" s="57"/>
    </row>
    <row r="78" spans="1:1" x14ac:dyDescent="0.2">
      <c r="A78" s="57"/>
    </row>
    <row r="79" spans="1:1" x14ac:dyDescent="0.2">
      <c r="A79" s="57"/>
    </row>
    <row r="80" spans="1:1" x14ac:dyDescent="0.2">
      <c r="A80" s="57"/>
    </row>
    <row r="81" spans="1:1" x14ac:dyDescent="0.2">
      <c r="A81" s="57"/>
    </row>
    <row r="82" spans="1:1" x14ac:dyDescent="0.2">
      <c r="A82" s="57"/>
    </row>
    <row r="83" spans="1:1" x14ac:dyDescent="0.2">
      <c r="A83" s="57"/>
    </row>
    <row r="84" spans="1:1" x14ac:dyDescent="0.2">
      <c r="A84" s="57"/>
    </row>
    <row r="85" spans="1:1" x14ac:dyDescent="0.2">
      <c r="A85" s="57"/>
    </row>
    <row r="86" spans="1:1" x14ac:dyDescent="0.2">
      <c r="A86" s="57"/>
    </row>
    <row r="87" spans="1:1" x14ac:dyDescent="0.2">
      <c r="A87" s="57"/>
    </row>
    <row r="88" spans="1:1" x14ac:dyDescent="0.2">
      <c r="A88" s="57"/>
    </row>
    <row r="89" spans="1:1" x14ac:dyDescent="0.2">
      <c r="A89" s="57"/>
    </row>
    <row r="90" spans="1:1" x14ac:dyDescent="0.2">
      <c r="A90" s="57"/>
    </row>
    <row r="91" spans="1:1" x14ac:dyDescent="0.2">
      <c r="A91" s="57"/>
    </row>
    <row r="92" spans="1:1" x14ac:dyDescent="0.2">
      <c r="A92" s="57"/>
    </row>
    <row r="93" spans="1:1" x14ac:dyDescent="0.2">
      <c r="A93" s="57"/>
    </row>
    <row r="94" spans="1:1" x14ac:dyDescent="0.2">
      <c r="A94" s="57"/>
    </row>
    <row r="95" spans="1:1" x14ac:dyDescent="0.2">
      <c r="A95" s="57"/>
    </row>
    <row r="96" spans="1:1" x14ac:dyDescent="0.2">
      <c r="A96" s="57"/>
    </row>
    <row r="97" spans="1:1" x14ac:dyDescent="0.2">
      <c r="A97" s="57"/>
    </row>
    <row r="98" spans="1:1" x14ac:dyDescent="0.2">
      <c r="A98" s="57"/>
    </row>
    <row r="99" spans="1:1" x14ac:dyDescent="0.2">
      <c r="A99" s="57"/>
    </row>
    <row r="100" spans="1:1" x14ac:dyDescent="0.2">
      <c r="A100" s="57"/>
    </row>
    <row r="101" spans="1:1" x14ac:dyDescent="0.2">
      <c r="A101" s="57"/>
    </row>
    <row r="102" spans="1:1" x14ac:dyDescent="0.2">
      <c r="A102" s="57"/>
    </row>
    <row r="103" spans="1:1" x14ac:dyDescent="0.2">
      <c r="A103" s="57"/>
    </row>
    <row r="104" spans="1:1" x14ac:dyDescent="0.2">
      <c r="A104" s="57"/>
    </row>
    <row r="105" spans="1:1" x14ac:dyDescent="0.2">
      <c r="A105" s="57"/>
    </row>
    <row r="106" spans="1:1" x14ac:dyDescent="0.2">
      <c r="A106" s="57"/>
    </row>
    <row r="107" spans="1:1" x14ac:dyDescent="0.2">
      <c r="A107" s="57"/>
    </row>
    <row r="108" spans="1:1" x14ac:dyDescent="0.2">
      <c r="A108" s="57"/>
    </row>
    <row r="109" spans="1:1" x14ac:dyDescent="0.2">
      <c r="A109" s="57"/>
    </row>
    <row r="110" spans="1:1" x14ac:dyDescent="0.2">
      <c r="A110" s="57"/>
    </row>
    <row r="111" spans="1:1" x14ac:dyDescent="0.2">
      <c r="A111" s="57"/>
    </row>
    <row r="112" spans="1:1" x14ac:dyDescent="0.2">
      <c r="A112" s="57"/>
    </row>
    <row r="113" spans="1:1" x14ac:dyDescent="0.2">
      <c r="A113" s="57"/>
    </row>
    <row r="114" spans="1:1" x14ac:dyDescent="0.2">
      <c r="A114" s="57"/>
    </row>
    <row r="115" spans="1:1" x14ac:dyDescent="0.2">
      <c r="A115" s="57"/>
    </row>
    <row r="116" spans="1:1" x14ac:dyDescent="0.2">
      <c r="A116" s="57"/>
    </row>
    <row r="117" spans="1:1" x14ac:dyDescent="0.2">
      <c r="A117" s="57"/>
    </row>
    <row r="118" spans="1:1" x14ac:dyDescent="0.2">
      <c r="A118" s="57"/>
    </row>
    <row r="119" spans="1:1" x14ac:dyDescent="0.2">
      <c r="A119" s="57"/>
    </row>
    <row r="120" spans="1:1" x14ac:dyDescent="0.2">
      <c r="A120" s="57"/>
    </row>
    <row r="121" spans="1:1" x14ac:dyDescent="0.2">
      <c r="A121" s="57"/>
    </row>
    <row r="122" spans="1:1" x14ac:dyDescent="0.2">
      <c r="A122" s="57"/>
    </row>
    <row r="123" spans="1:1" x14ac:dyDescent="0.2">
      <c r="A123" s="57"/>
    </row>
    <row r="124" spans="1:1" x14ac:dyDescent="0.2">
      <c r="A124" s="57"/>
    </row>
    <row r="125" spans="1:1" x14ac:dyDescent="0.2">
      <c r="A125" s="57"/>
    </row>
    <row r="126" spans="1:1" x14ac:dyDescent="0.2">
      <c r="A126" s="57"/>
    </row>
    <row r="127" spans="1:1" x14ac:dyDescent="0.2">
      <c r="A127" s="57"/>
    </row>
    <row r="128" spans="1:1" x14ac:dyDescent="0.2">
      <c r="A128" s="57"/>
    </row>
    <row r="129" spans="1:1" x14ac:dyDescent="0.2">
      <c r="A129" s="57"/>
    </row>
    <row r="130" spans="1:1" x14ac:dyDescent="0.2">
      <c r="A130" s="57"/>
    </row>
    <row r="131" spans="1:1" x14ac:dyDescent="0.2">
      <c r="A131" s="57"/>
    </row>
    <row r="132" spans="1:1" x14ac:dyDescent="0.2">
      <c r="A132" s="57"/>
    </row>
    <row r="133" spans="1:1" x14ac:dyDescent="0.2">
      <c r="A133" s="57"/>
    </row>
    <row r="134" spans="1:1" x14ac:dyDescent="0.2">
      <c r="A134" s="57"/>
    </row>
    <row r="135" spans="1:1" x14ac:dyDescent="0.2">
      <c r="A135" s="57"/>
    </row>
    <row r="136" spans="1:1" x14ac:dyDescent="0.2">
      <c r="A136" s="57"/>
    </row>
    <row r="137" spans="1:1" x14ac:dyDescent="0.2">
      <c r="A137" s="57"/>
    </row>
    <row r="138" spans="1:1" x14ac:dyDescent="0.2">
      <c r="A138" s="57"/>
    </row>
    <row r="139" spans="1:1" x14ac:dyDescent="0.2">
      <c r="A139" s="57"/>
    </row>
    <row r="140" spans="1:1" x14ac:dyDescent="0.2">
      <c r="A140" s="57"/>
    </row>
    <row r="141" spans="1:1" x14ac:dyDescent="0.2">
      <c r="A141" s="57"/>
    </row>
    <row r="142" spans="1:1" x14ac:dyDescent="0.2">
      <c r="A142" s="57"/>
    </row>
    <row r="143" spans="1:1" x14ac:dyDescent="0.2">
      <c r="A143" s="57"/>
    </row>
    <row r="144" spans="1:1" x14ac:dyDescent="0.2">
      <c r="A144" s="57"/>
    </row>
    <row r="145" spans="1:1" x14ac:dyDescent="0.2">
      <c r="A145" s="57"/>
    </row>
    <row r="146" spans="1:1" x14ac:dyDescent="0.2">
      <c r="A146" s="57"/>
    </row>
    <row r="147" spans="1:1" x14ac:dyDescent="0.2">
      <c r="A147" s="57"/>
    </row>
    <row r="148" spans="1:1" x14ac:dyDescent="0.2">
      <c r="A148" s="57"/>
    </row>
    <row r="149" spans="1:1" x14ac:dyDescent="0.2">
      <c r="A149" s="57"/>
    </row>
    <row r="150" spans="1:1" x14ac:dyDescent="0.2">
      <c r="A150" s="57"/>
    </row>
    <row r="151" spans="1:1" x14ac:dyDescent="0.2">
      <c r="A151" s="57"/>
    </row>
    <row r="152" spans="1:1" x14ac:dyDescent="0.2">
      <c r="A152" s="57"/>
    </row>
    <row r="153" spans="1:1" x14ac:dyDescent="0.2">
      <c r="A153" s="57"/>
    </row>
    <row r="154" spans="1:1" x14ac:dyDescent="0.2">
      <c r="A154" s="57"/>
    </row>
    <row r="155" spans="1:1" x14ac:dyDescent="0.2">
      <c r="A155" s="57"/>
    </row>
    <row r="156" spans="1:1" x14ac:dyDescent="0.2">
      <c r="A156" s="57"/>
    </row>
    <row r="157" spans="1:1" x14ac:dyDescent="0.2">
      <c r="A157" s="57"/>
    </row>
    <row r="158" spans="1:1" x14ac:dyDescent="0.2">
      <c r="A158" s="57"/>
    </row>
    <row r="159" spans="1:1" x14ac:dyDescent="0.2">
      <c r="A159" s="57"/>
    </row>
    <row r="160" spans="1:1" x14ac:dyDescent="0.2">
      <c r="A160" s="57"/>
    </row>
    <row r="161" spans="1:1" x14ac:dyDescent="0.2">
      <c r="A161" s="57"/>
    </row>
    <row r="162" spans="1:1" x14ac:dyDescent="0.2">
      <c r="A162" s="57"/>
    </row>
    <row r="163" spans="1:1" x14ac:dyDescent="0.2">
      <c r="A163" s="57"/>
    </row>
    <row r="164" spans="1:1" x14ac:dyDescent="0.2">
      <c r="A164" s="57"/>
    </row>
    <row r="165" spans="1:1" x14ac:dyDescent="0.2">
      <c r="A165" s="57"/>
    </row>
    <row r="166" spans="1:1" x14ac:dyDescent="0.2">
      <c r="A166" s="57"/>
    </row>
    <row r="167" spans="1:1" x14ac:dyDescent="0.2">
      <c r="A167" s="57"/>
    </row>
    <row r="168" spans="1:1" x14ac:dyDescent="0.2">
      <c r="A168" s="57"/>
    </row>
    <row r="169" spans="1:1" x14ac:dyDescent="0.2">
      <c r="A169" s="57"/>
    </row>
    <row r="170" spans="1:1" x14ac:dyDescent="0.2">
      <c r="A170" s="57"/>
    </row>
    <row r="171" spans="1:1" x14ac:dyDescent="0.2">
      <c r="A171" s="57"/>
    </row>
    <row r="172" spans="1:1" x14ac:dyDescent="0.2">
      <c r="A172" s="57"/>
    </row>
    <row r="173" spans="1:1" x14ac:dyDescent="0.2">
      <c r="A173" s="57"/>
    </row>
    <row r="174" spans="1:1" x14ac:dyDescent="0.2">
      <c r="A174" s="57"/>
    </row>
    <row r="175" spans="1:1" x14ac:dyDescent="0.2">
      <c r="A175" s="57"/>
    </row>
    <row r="176" spans="1:1" x14ac:dyDescent="0.2">
      <c r="A176" s="57"/>
    </row>
    <row r="177" spans="1:1" x14ac:dyDescent="0.2">
      <c r="A177" s="57"/>
    </row>
    <row r="178" spans="1:1" x14ac:dyDescent="0.2">
      <c r="A178" s="57"/>
    </row>
    <row r="179" spans="1:1" x14ac:dyDescent="0.2">
      <c r="A179" s="57"/>
    </row>
    <row r="180" spans="1:1" x14ac:dyDescent="0.2">
      <c r="A180" s="57"/>
    </row>
    <row r="181" spans="1:1" x14ac:dyDescent="0.2">
      <c r="A181" s="57"/>
    </row>
    <row r="182" spans="1:1" x14ac:dyDescent="0.2">
      <c r="A182" s="57"/>
    </row>
    <row r="183" spans="1:1" x14ac:dyDescent="0.2">
      <c r="A183" s="57"/>
    </row>
    <row r="184" spans="1:1" x14ac:dyDescent="0.2">
      <c r="A184" s="57"/>
    </row>
    <row r="185" spans="1:1" x14ac:dyDescent="0.2">
      <c r="A185" s="57"/>
    </row>
    <row r="186" spans="1:1" x14ac:dyDescent="0.2">
      <c r="A186" s="57"/>
    </row>
    <row r="187" spans="1:1" x14ac:dyDescent="0.2">
      <c r="A187" s="57"/>
    </row>
    <row r="188" spans="1:1" x14ac:dyDescent="0.2">
      <c r="A188" s="57"/>
    </row>
    <row r="189" spans="1:1" x14ac:dyDescent="0.2">
      <c r="A189" s="57"/>
    </row>
    <row r="190" spans="1:1" x14ac:dyDescent="0.2">
      <c r="A190" s="57"/>
    </row>
    <row r="191" spans="1:1" x14ac:dyDescent="0.2">
      <c r="A191" s="57"/>
    </row>
    <row r="192" spans="1:1" x14ac:dyDescent="0.2">
      <c r="A192" s="57"/>
    </row>
    <row r="193" spans="1:1" x14ac:dyDescent="0.2">
      <c r="A193" s="57"/>
    </row>
    <row r="194" spans="1:1" x14ac:dyDescent="0.2">
      <c r="A194" s="57"/>
    </row>
    <row r="195" spans="1:1" x14ac:dyDescent="0.2">
      <c r="A195" s="57"/>
    </row>
    <row r="196" spans="1:1" x14ac:dyDescent="0.2">
      <c r="A196" s="57"/>
    </row>
    <row r="197" spans="1:1" x14ac:dyDescent="0.2">
      <c r="A197" s="57"/>
    </row>
    <row r="198" spans="1:1" x14ac:dyDescent="0.2">
      <c r="A198" s="57"/>
    </row>
    <row r="199" spans="1:1" x14ac:dyDescent="0.2">
      <c r="A199" s="57"/>
    </row>
    <row r="200" spans="1:1" x14ac:dyDescent="0.2">
      <c r="A200" s="57"/>
    </row>
    <row r="201" spans="1:1" x14ac:dyDescent="0.2">
      <c r="A201" s="57"/>
    </row>
    <row r="202" spans="1:1" x14ac:dyDescent="0.2">
      <c r="A202" s="57"/>
    </row>
    <row r="203" spans="1:1" x14ac:dyDescent="0.2">
      <c r="A203" s="57"/>
    </row>
    <row r="204" spans="1:1" x14ac:dyDescent="0.2">
      <c r="A204" s="57"/>
    </row>
    <row r="205" spans="1:1" x14ac:dyDescent="0.2">
      <c r="A205" s="57"/>
    </row>
    <row r="206" spans="1:1" x14ac:dyDescent="0.2">
      <c r="A206" s="57"/>
    </row>
    <row r="207" spans="1:1" x14ac:dyDescent="0.2">
      <c r="A207" s="57"/>
    </row>
    <row r="208" spans="1:1" x14ac:dyDescent="0.2">
      <c r="A208" s="57"/>
    </row>
    <row r="209" spans="1:1" x14ac:dyDescent="0.2">
      <c r="A209" s="57"/>
    </row>
    <row r="210" spans="1:1" x14ac:dyDescent="0.2">
      <c r="A210" s="57"/>
    </row>
    <row r="211" spans="1:1" x14ac:dyDescent="0.2">
      <c r="A211" s="57"/>
    </row>
    <row r="212" spans="1:1" x14ac:dyDescent="0.2">
      <c r="A212" s="57"/>
    </row>
    <row r="213" spans="1:1" x14ac:dyDescent="0.2">
      <c r="A213" s="57"/>
    </row>
    <row r="214" spans="1:1" x14ac:dyDescent="0.2">
      <c r="A214" s="57"/>
    </row>
    <row r="215" spans="1:1" x14ac:dyDescent="0.2">
      <c r="A215" s="57"/>
    </row>
    <row r="216" spans="1:1" x14ac:dyDescent="0.2">
      <c r="A216" s="57"/>
    </row>
    <row r="217" spans="1:1" x14ac:dyDescent="0.2">
      <c r="A217" s="57"/>
    </row>
    <row r="218" spans="1:1" x14ac:dyDescent="0.2">
      <c r="A218" s="57"/>
    </row>
    <row r="219" spans="1:1" x14ac:dyDescent="0.2">
      <c r="A219" s="57"/>
    </row>
    <row r="220" spans="1:1" x14ac:dyDescent="0.2">
      <c r="A220" s="57"/>
    </row>
    <row r="221" spans="1:1" x14ac:dyDescent="0.2">
      <c r="A221" s="57"/>
    </row>
    <row r="222" spans="1:1" x14ac:dyDescent="0.2">
      <c r="A222" s="57"/>
    </row>
    <row r="223" spans="1:1" x14ac:dyDescent="0.2">
      <c r="A223" s="57"/>
    </row>
    <row r="224" spans="1:1" x14ac:dyDescent="0.2">
      <c r="A224" s="57"/>
    </row>
    <row r="225" spans="1:1" x14ac:dyDescent="0.2">
      <c r="A225" s="57"/>
    </row>
    <row r="226" spans="1:1" x14ac:dyDescent="0.2">
      <c r="A226" s="57"/>
    </row>
    <row r="227" spans="1:1" x14ac:dyDescent="0.2">
      <c r="A227" s="57"/>
    </row>
    <row r="228" spans="1:1" x14ac:dyDescent="0.2">
      <c r="A228" s="57"/>
    </row>
    <row r="229" spans="1:1" x14ac:dyDescent="0.2">
      <c r="A229" s="57"/>
    </row>
    <row r="230" spans="1:1" x14ac:dyDescent="0.2">
      <c r="A230" s="57"/>
    </row>
    <row r="231" spans="1:1" x14ac:dyDescent="0.2">
      <c r="A231" s="57"/>
    </row>
    <row r="232" spans="1:1" x14ac:dyDescent="0.2">
      <c r="A232" s="57"/>
    </row>
    <row r="233" spans="1:1" x14ac:dyDescent="0.2">
      <c r="A233" s="57"/>
    </row>
    <row r="234" spans="1:1" x14ac:dyDescent="0.2">
      <c r="A234" s="57"/>
    </row>
    <row r="235" spans="1:1" x14ac:dyDescent="0.2">
      <c r="A235" s="57"/>
    </row>
    <row r="236" spans="1:1" x14ac:dyDescent="0.2">
      <c r="A236" s="57"/>
    </row>
    <row r="237" spans="1:1" x14ac:dyDescent="0.2">
      <c r="A237" s="57"/>
    </row>
    <row r="238" spans="1:1" x14ac:dyDescent="0.2">
      <c r="A238" s="57"/>
    </row>
    <row r="239" spans="1:1" x14ac:dyDescent="0.2">
      <c r="A239" s="57"/>
    </row>
    <row r="240" spans="1:1" x14ac:dyDescent="0.2">
      <c r="A240" s="57"/>
    </row>
    <row r="241" spans="1:1" x14ac:dyDescent="0.2">
      <c r="A241" s="57"/>
    </row>
    <row r="242" spans="1:1" x14ac:dyDescent="0.2">
      <c r="A242" s="57"/>
    </row>
    <row r="243" spans="1:1" x14ac:dyDescent="0.2">
      <c r="A243" s="57"/>
    </row>
    <row r="244" spans="1:1" x14ac:dyDescent="0.2">
      <c r="A244" s="57"/>
    </row>
    <row r="245" spans="1:1" x14ac:dyDescent="0.2">
      <c r="A245" s="57"/>
    </row>
    <row r="246" spans="1:1" x14ac:dyDescent="0.2">
      <c r="A246" s="57"/>
    </row>
    <row r="247" spans="1:1" x14ac:dyDescent="0.2">
      <c r="A247" s="57"/>
    </row>
    <row r="248" spans="1:1" x14ac:dyDescent="0.2">
      <c r="A248" s="57"/>
    </row>
    <row r="249" spans="1:1" x14ac:dyDescent="0.2">
      <c r="A249" s="57"/>
    </row>
    <row r="250" spans="1:1" x14ac:dyDescent="0.2">
      <c r="A250" s="57"/>
    </row>
    <row r="251" spans="1:1" x14ac:dyDescent="0.2">
      <c r="A251" s="57"/>
    </row>
    <row r="252" spans="1:1" x14ac:dyDescent="0.2">
      <c r="A252" s="57"/>
    </row>
    <row r="253" spans="1:1" x14ac:dyDescent="0.2">
      <c r="A253" s="57"/>
    </row>
    <row r="254" spans="1:1" x14ac:dyDescent="0.2">
      <c r="A254" s="57"/>
    </row>
    <row r="255" spans="1:1" x14ac:dyDescent="0.2">
      <c r="A255" s="57"/>
    </row>
    <row r="256" spans="1:1" x14ac:dyDescent="0.2">
      <c r="A256" s="57"/>
    </row>
    <row r="257" spans="1:1" x14ac:dyDescent="0.2">
      <c r="A257" s="57"/>
    </row>
    <row r="258" spans="1:1" x14ac:dyDescent="0.2">
      <c r="A258" s="57"/>
    </row>
    <row r="259" spans="1:1" x14ac:dyDescent="0.2">
      <c r="A259" s="57"/>
    </row>
    <row r="260" spans="1:1" x14ac:dyDescent="0.2">
      <c r="A260" s="57"/>
    </row>
    <row r="261" spans="1:1" x14ac:dyDescent="0.2">
      <c r="A261" s="57"/>
    </row>
    <row r="262" spans="1:1" x14ac:dyDescent="0.2">
      <c r="A262" s="57"/>
    </row>
    <row r="263" spans="1:1" x14ac:dyDescent="0.2">
      <c r="A263" s="57"/>
    </row>
    <row r="264" spans="1:1" x14ac:dyDescent="0.2">
      <c r="A264" s="57"/>
    </row>
    <row r="265" spans="1:1" x14ac:dyDescent="0.2">
      <c r="A265" s="57"/>
    </row>
    <row r="266" spans="1:1" x14ac:dyDescent="0.2">
      <c r="A266" s="57"/>
    </row>
    <row r="267" spans="1:1" x14ac:dyDescent="0.2">
      <c r="A267" s="57"/>
    </row>
    <row r="268" spans="1:1" x14ac:dyDescent="0.2">
      <c r="A268" s="57"/>
    </row>
    <row r="269" spans="1:1" x14ac:dyDescent="0.2">
      <c r="A269" s="57"/>
    </row>
    <row r="270" spans="1:1" x14ac:dyDescent="0.2">
      <c r="A270" s="57"/>
    </row>
    <row r="271" spans="1:1" x14ac:dyDescent="0.2">
      <c r="A271" s="57"/>
    </row>
    <row r="272" spans="1:1" x14ac:dyDescent="0.2">
      <c r="A272" s="57"/>
    </row>
    <row r="273" spans="1:1" x14ac:dyDescent="0.2">
      <c r="A273" s="57"/>
    </row>
    <row r="274" spans="1:1" x14ac:dyDescent="0.2">
      <c r="A274" s="57"/>
    </row>
    <row r="275" spans="1:1" x14ac:dyDescent="0.2">
      <c r="A275" s="57"/>
    </row>
    <row r="276" spans="1:1" x14ac:dyDescent="0.2">
      <c r="A276" s="57"/>
    </row>
    <row r="277" spans="1:1" x14ac:dyDescent="0.2">
      <c r="A277" s="57"/>
    </row>
    <row r="278" spans="1:1" x14ac:dyDescent="0.2">
      <c r="A278" s="57"/>
    </row>
    <row r="279" spans="1:1" x14ac:dyDescent="0.2">
      <c r="A279" s="57"/>
    </row>
    <row r="280" spans="1:1" x14ac:dyDescent="0.2">
      <c r="A280" s="57"/>
    </row>
    <row r="281" spans="1:1" x14ac:dyDescent="0.2">
      <c r="A281" s="57"/>
    </row>
    <row r="282" spans="1:1" x14ac:dyDescent="0.2">
      <c r="A282" s="57"/>
    </row>
    <row r="283" spans="1:1" x14ac:dyDescent="0.2">
      <c r="A283" s="57"/>
    </row>
    <row r="284" spans="1:1" x14ac:dyDescent="0.2">
      <c r="A284" s="57"/>
    </row>
    <row r="285" spans="1:1" x14ac:dyDescent="0.2">
      <c r="A285" s="57"/>
    </row>
    <row r="286" spans="1:1" x14ac:dyDescent="0.2">
      <c r="A286" s="57"/>
    </row>
    <row r="287" spans="1:1" x14ac:dyDescent="0.2">
      <c r="A287" s="57"/>
    </row>
    <row r="288" spans="1:1" x14ac:dyDescent="0.2">
      <c r="A288" s="57"/>
    </row>
    <row r="289" spans="1:1" x14ac:dyDescent="0.2">
      <c r="A289" s="57"/>
    </row>
    <row r="290" spans="1:1" x14ac:dyDescent="0.2">
      <c r="A290" s="57"/>
    </row>
    <row r="291" spans="1:1" x14ac:dyDescent="0.2">
      <c r="A291" s="57"/>
    </row>
    <row r="292" spans="1:1" x14ac:dyDescent="0.2">
      <c r="A292" s="57"/>
    </row>
    <row r="293" spans="1:1" x14ac:dyDescent="0.2">
      <c r="A293" s="57"/>
    </row>
    <row r="294" spans="1:1" x14ac:dyDescent="0.2">
      <c r="A294" s="57"/>
    </row>
    <row r="295" spans="1:1" x14ac:dyDescent="0.2">
      <c r="A295" s="57"/>
    </row>
    <row r="296" spans="1:1" x14ac:dyDescent="0.2">
      <c r="A296" s="57"/>
    </row>
    <row r="297" spans="1:1" x14ac:dyDescent="0.2">
      <c r="A297" s="57"/>
    </row>
    <row r="298" spans="1:1" x14ac:dyDescent="0.2">
      <c r="A298" s="57"/>
    </row>
    <row r="299" spans="1:1" x14ac:dyDescent="0.2">
      <c r="A299" s="57"/>
    </row>
    <row r="300" spans="1:1" x14ac:dyDescent="0.2">
      <c r="A300" s="57"/>
    </row>
    <row r="301" spans="1:1" x14ac:dyDescent="0.2">
      <c r="A301" s="57"/>
    </row>
    <row r="302" spans="1:1" x14ac:dyDescent="0.2">
      <c r="A302" s="57"/>
    </row>
    <row r="303" spans="1:1" x14ac:dyDescent="0.2">
      <c r="A303" s="57"/>
    </row>
    <row r="304" spans="1:1" x14ac:dyDescent="0.2">
      <c r="A304" s="57"/>
    </row>
    <row r="305" spans="1:1" x14ac:dyDescent="0.2">
      <c r="A305" s="57"/>
    </row>
    <row r="306" spans="1:1" x14ac:dyDescent="0.2">
      <c r="A306" s="57"/>
    </row>
    <row r="307" spans="1:1" x14ac:dyDescent="0.2">
      <c r="A307" s="57"/>
    </row>
    <row r="308" spans="1:1" x14ac:dyDescent="0.2">
      <c r="A308" s="57"/>
    </row>
    <row r="309" spans="1:1" x14ac:dyDescent="0.2">
      <c r="A309" s="57"/>
    </row>
    <row r="310" spans="1:1" x14ac:dyDescent="0.2">
      <c r="A310" s="57"/>
    </row>
    <row r="311" spans="1:1" x14ac:dyDescent="0.2">
      <c r="A311" s="57"/>
    </row>
    <row r="312" spans="1:1" x14ac:dyDescent="0.2">
      <c r="A312" s="57"/>
    </row>
    <row r="313" spans="1:1" x14ac:dyDescent="0.2">
      <c r="A313" s="57"/>
    </row>
    <row r="314" spans="1:1" x14ac:dyDescent="0.2">
      <c r="A314" s="57"/>
    </row>
    <row r="315" spans="1:1" x14ac:dyDescent="0.2">
      <c r="A315" s="57"/>
    </row>
    <row r="316" spans="1:1" x14ac:dyDescent="0.2">
      <c r="A316" s="57"/>
    </row>
    <row r="317" spans="1:1" x14ac:dyDescent="0.2">
      <c r="A317" s="57"/>
    </row>
    <row r="318" spans="1:1" x14ac:dyDescent="0.2">
      <c r="A318" s="57"/>
    </row>
    <row r="319" spans="1:1" x14ac:dyDescent="0.2">
      <c r="A319" s="57"/>
    </row>
    <row r="320" spans="1:1" x14ac:dyDescent="0.2">
      <c r="A320" s="57"/>
    </row>
    <row r="321" spans="1:1" x14ac:dyDescent="0.2">
      <c r="A321" s="57"/>
    </row>
    <row r="322" spans="1:1" x14ac:dyDescent="0.2">
      <c r="A322" s="57"/>
    </row>
    <row r="323" spans="1:1" x14ac:dyDescent="0.2">
      <c r="A323" s="57"/>
    </row>
    <row r="324" spans="1:1" x14ac:dyDescent="0.2">
      <c r="A324" s="57"/>
    </row>
    <row r="325" spans="1:1" x14ac:dyDescent="0.2">
      <c r="A325" s="57"/>
    </row>
    <row r="326" spans="1:1" x14ac:dyDescent="0.2">
      <c r="A326" s="57"/>
    </row>
    <row r="327" spans="1:1" x14ac:dyDescent="0.2">
      <c r="A327" s="57"/>
    </row>
    <row r="328" spans="1:1" x14ac:dyDescent="0.2">
      <c r="A328" s="57"/>
    </row>
    <row r="329" spans="1:1" x14ac:dyDescent="0.2">
      <c r="A329" s="57"/>
    </row>
    <row r="330" spans="1:1" x14ac:dyDescent="0.2">
      <c r="A330" s="57"/>
    </row>
    <row r="331" spans="1:1" x14ac:dyDescent="0.2">
      <c r="A331" s="57"/>
    </row>
    <row r="332" spans="1:1" x14ac:dyDescent="0.2">
      <c r="A332" s="57"/>
    </row>
    <row r="333" spans="1:1" x14ac:dyDescent="0.2">
      <c r="A333" s="57"/>
    </row>
    <row r="334" spans="1:1" x14ac:dyDescent="0.2">
      <c r="A334" s="57"/>
    </row>
    <row r="335" spans="1:1" x14ac:dyDescent="0.2">
      <c r="A335" s="57"/>
    </row>
    <row r="336" spans="1:1" x14ac:dyDescent="0.2">
      <c r="A336" s="57"/>
    </row>
    <row r="337" spans="1:1" x14ac:dyDescent="0.2">
      <c r="A337" s="57"/>
    </row>
    <row r="338" spans="1:1" x14ac:dyDescent="0.2">
      <c r="A338" s="57"/>
    </row>
    <row r="339" spans="1:1" x14ac:dyDescent="0.2">
      <c r="A339" s="57"/>
    </row>
    <row r="340" spans="1:1" x14ac:dyDescent="0.2">
      <c r="A340" s="57"/>
    </row>
    <row r="341" spans="1:1" x14ac:dyDescent="0.2">
      <c r="A341" s="57"/>
    </row>
    <row r="342" spans="1:1" x14ac:dyDescent="0.2">
      <c r="A342" s="57"/>
    </row>
    <row r="343" spans="1:1" x14ac:dyDescent="0.2">
      <c r="A343" s="57"/>
    </row>
    <row r="344" spans="1:1" x14ac:dyDescent="0.2">
      <c r="A344" s="57"/>
    </row>
    <row r="345" spans="1:1" x14ac:dyDescent="0.2">
      <c r="A345" s="57"/>
    </row>
    <row r="346" spans="1:1" x14ac:dyDescent="0.2">
      <c r="A346" s="57"/>
    </row>
    <row r="347" spans="1:1" x14ac:dyDescent="0.2">
      <c r="A347" s="57"/>
    </row>
    <row r="348" spans="1:1" x14ac:dyDescent="0.2">
      <c r="A348" s="57"/>
    </row>
    <row r="349" spans="1:1" x14ac:dyDescent="0.2">
      <c r="A349" s="57"/>
    </row>
    <row r="350" spans="1:1" x14ac:dyDescent="0.2">
      <c r="A350" s="57"/>
    </row>
    <row r="351" spans="1:1" x14ac:dyDescent="0.2">
      <c r="A351" s="57"/>
    </row>
    <row r="352" spans="1:1" x14ac:dyDescent="0.2">
      <c r="A352" s="57"/>
    </row>
    <row r="353" spans="1:1" x14ac:dyDescent="0.2">
      <c r="A353" s="57"/>
    </row>
    <row r="354" spans="1:1" x14ac:dyDescent="0.2">
      <c r="A354" s="57"/>
    </row>
    <row r="355" spans="1:1" x14ac:dyDescent="0.2">
      <c r="A355" s="57"/>
    </row>
    <row r="356" spans="1:1" x14ac:dyDescent="0.2">
      <c r="A356" s="57"/>
    </row>
    <row r="357" spans="1:1" x14ac:dyDescent="0.2">
      <c r="A357" s="57"/>
    </row>
    <row r="358" spans="1:1" x14ac:dyDescent="0.2">
      <c r="A358" s="57"/>
    </row>
    <row r="359" spans="1:1" x14ac:dyDescent="0.2">
      <c r="A359" s="57"/>
    </row>
    <row r="360" spans="1:1" x14ac:dyDescent="0.2">
      <c r="A360" s="57"/>
    </row>
    <row r="361" spans="1:1" x14ac:dyDescent="0.2">
      <c r="A361" s="57"/>
    </row>
    <row r="362" spans="1:1" x14ac:dyDescent="0.2">
      <c r="A362" s="57"/>
    </row>
    <row r="363" spans="1:1" x14ac:dyDescent="0.2">
      <c r="A363" s="57"/>
    </row>
    <row r="364" spans="1:1" x14ac:dyDescent="0.2">
      <c r="A364" s="57"/>
    </row>
    <row r="365" spans="1:1" x14ac:dyDescent="0.2">
      <c r="A365" s="57"/>
    </row>
    <row r="366" spans="1:1" x14ac:dyDescent="0.2">
      <c r="A366" s="57"/>
    </row>
    <row r="367" spans="1:1" x14ac:dyDescent="0.2">
      <c r="A367" s="57"/>
    </row>
    <row r="368" spans="1:1" x14ac:dyDescent="0.2">
      <c r="A368" s="57"/>
    </row>
    <row r="369" spans="1:1" x14ac:dyDescent="0.2">
      <c r="A369" s="57"/>
    </row>
    <row r="370" spans="1:1" x14ac:dyDescent="0.2">
      <c r="A370" s="57"/>
    </row>
    <row r="371" spans="1:1" x14ac:dyDescent="0.2">
      <c r="A371" s="57"/>
    </row>
    <row r="372" spans="1:1" x14ac:dyDescent="0.2">
      <c r="A372" s="57"/>
    </row>
    <row r="373" spans="1:1" x14ac:dyDescent="0.2">
      <c r="A373" s="57"/>
    </row>
    <row r="374" spans="1:1" x14ac:dyDescent="0.2">
      <c r="A374" s="57"/>
    </row>
    <row r="375" spans="1:1" x14ac:dyDescent="0.2">
      <c r="A375" s="57"/>
    </row>
    <row r="376" spans="1:1" x14ac:dyDescent="0.2">
      <c r="A376" s="57"/>
    </row>
    <row r="377" spans="1:1" x14ac:dyDescent="0.2">
      <c r="A377" s="57"/>
    </row>
    <row r="378" spans="1:1" x14ac:dyDescent="0.2">
      <c r="A378" s="57"/>
    </row>
    <row r="379" spans="1:1" x14ac:dyDescent="0.2">
      <c r="A379" s="57"/>
    </row>
    <row r="380" spans="1:1" x14ac:dyDescent="0.2">
      <c r="A380" s="57"/>
    </row>
    <row r="381" spans="1:1" x14ac:dyDescent="0.2">
      <c r="A381" s="57"/>
    </row>
    <row r="382" spans="1:1" x14ac:dyDescent="0.2">
      <c r="A382" s="57"/>
    </row>
    <row r="383" spans="1:1" x14ac:dyDescent="0.2">
      <c r="A383" s="57"/>
    </row>
    <row r="384" spans="1:1" x14ac:dyDescent="0.2">
      <c r="A384" s="57"/>
    </row>
    <row r="385" spans="1:1" x14ac:dyDescent="0.2">
      <c r="A385" s="57"/>
    </row>
    <row r="386" spans="1:1" x14ac:dyDescent="0.2">
      <c r="A386" s="57"/>
    </row>
    <row r="387" spans="1:1" x14ac:dyDescent="0.2">
      <c r="A387" s="57"/>
    </row>
    <row r="388" spans="1:1" x14ac:dyDescent="0.2">
      <c r="A388" s="57"/>
    </row>
    <row r="389" spans="1:1" x14ac:dyDescent="0.2">
      <c r="A389" s="57"/>
    </row>
    <row r="390" spans="1:1" x14ac:dyDescent="0.2">
      <c r="A390" s="57"/>
    </row>
    <row r="391" spans="1:1" x14ac:dyDescent="0.2">
      <c r="A391" s="57"/>
    </row>
    <row r="392" spans="1:1" x14ac:dyDescent="0.2">
      <c r="A392" s="57"/>
    </row>
    <row r="393" spans="1:1" x14ac:dyDescent="0.2">
      <c r="A393" s="57"/>
    </row>
    <row r="394" spans="1:1" x14ac:dyDescent="0.2">
      <c r="A394" s="57"/>
    </row>
    <row r="395" spans="1:1" x14ac:dyDescent="0.2">
      <c r="A395" s="57"/>
    </row>
    <row r="396" spans="1:1" x14ac:dyDescent="0.2">
      <c r="A396" s="57"/>
    </row>
    <row r="397" spans="1:1" x14ac:dyDescent="0.2">
      <c r="A397" s="57"/>
    </row>
    <row r="398" spans="1:1" x14ac:dyDescent="0.2">
      <c r="A398" s="57"/>
    </row>
    <row r="399" spans="1:1" x14ac:dyDescent="0.2">
      <c r="A399" s="57"/>
    </row>
    <row r="400" spans="1:1" x14ac:dyDescent="0.2">
      <c r="A400" s="57"/>
    </row>
    <row r="401" spans="1:1" x14ac:dyDescent="0.2">
      <c r="A401" s="57"/>
    </row>
    <row r="402" spans="1:1" x14ac:dyDescent="0.2">
      <c r="A402" s="57"/>
    </row>
    <row r="403" spans="1:1" x14ac:dyDescent="0.2">
      <c r="A403" s="57"/>
    </row>
    <row r="404" spans="1:1" x14ac:dyDescent="0.2">
      <c r="A404" s="57"/>
    </row>
    <row r="405" spans="1:1" x14ac:dyDescent="0.2">
      <c r="A405" s="57"/>
    </row>
    <row r="406" spans="1:1" x14ac:dyDescent="0.2">
      <c r="A406" s="57"/>
    </row>
    <row r="407" spans="1:1" x14ac:dyDescent="0.2">
      <c r="A407" s="57"/>
    </row>
    <row r="408" spans="1:1" x14ac:dyDescent="0.2">
      <c r="A408" s="57"/>
    </row>
    <row r="409" spans="1:1" x14ac:dyDescent="0.2">
      <c r="A409" s="57"/>
    </row>
    <row r="410" spans="1:1" x14ac:dyDescent="0.2">
      <c r="A410" s="57"/>
    </row>
    <row r="411" spans="1:1" x14ac:dyDescent="0.2">
      <c r="A411" s="57"/>
    </row>
    <row r="412" spans="1:1" x14ac:dyDescent="0.2">
      <c r="A412" s="57"/>
    </row>
    <row r="413" spans="1:1" x14ac:dyDescent="0.2">
      <c r="A413" s="57"/>
    </row>
    <row r="414" spans="1:1" x14ac:dyDescent="0.2">
      <c r="A414" s="57"/>
    </row>
    <row r="415" spans="1:1" x14ac:dyDescent="0.2">
      <c r="A415" s="57"/>
    </row>
    <row r="416" spans="1:1" x14ac:dyDescent="0.2">
      <c r="A416" s="57"/>
    </row>
    <row r="417" spans="1:1" x14ac:dyDescent="0.2">
      <c r="A417" s="57"/>
    </row>
    <row r="418" spans="1:1" x14ac:dyDescent="0.2">
      <c r="A418" s="57"/>
    </row>
    <row r="419" spans="1:1" x14ac:dyDescent="0.2">
      <c r="A419" s="57"/>
    </row>
    <row r="420" spans="1:1" x14ac:dyDescent="0.2">
      <c r="A420" s="57"/>
    </row>
    <row r="421" spans="1:1" x14ac:dyDescent="0.2">
      <c r="A421" s="57"/>
    </row>
    <row r="422" spans="1:1" x14ac:dyDescent="0.2">
      <c r="A422" s="57"/>
    </row>
    <row r="423" spans="1:1" x14ac:dyDescent="0.2">
      <c r="A423" s="57"/>
    </row>
    <row r="424" spans="1:1" x14ac:dyDescent="0.2">
      <c r="A424" s="57"/>
    </row>
    <row r="425" spans="1:1" x14ac:dyDescent="0.2">
      <c r="A425" s="57"/>
    </row>
    <row r="426" spans="1:1" x14ac:dyDescent="0.2">
      <c r="A426" s="57"/>
    </row>
    <row r="427" spans="1:1" x14ac:dyDescent="0.2">
      <c r="A427" s="57"/>
    </row>
    <row r="428" spans="1:1" x14ac:dyDescent="0.2">
      <c r="A428" s="57"/>
    </row>
    <row r="429" spans="1:1" x14ac:dyDescent="0.2">
      <c r="A429" s="57"/>
    </row>
    <row r="430" spans="1:1" x14ac:dyDescent="0.2">
      <c r="A430" s="57"/>
    </row>
    <row r="431" spans="1:1" x14ac:dyDescent="0.2">
      <c r="A431" s="57"/>
    </row>
    <row r="432" spans="1:1" x14ac:dyDescent="0.2">
      <c r="A432" s="57"/>
    </row>
    <row r="433" spans="1:1" x14ac:dyDescent="0.2">
      <c r="A433" s="57"/>
    </row>
    <row r="434" spans="1:1" x14ac:dyDescent="0.2">
      <c r="A434" s="57"/>
    </row>
    <row r="435" spans="1:1" x14ac:dyDescent="0.2">
      <c r="A435" s="57"/>
    </row>
    <row r="436" spans="1:1" x14ac:dyDescent="0.2">
      <c r="A436" s="57"/>
    </row>
    <row r="437" spans="1:1" x14ac:dyDescent="0.2">
      <c r="A437" s="57"/>
    </row>
    <row r="438" spans="1:1" x14ac:dyDescent="0.2">
      <c r="A438" s="57"/>
    </row>
    <row r="439" spans="1:1" x14ac:dyDescent="0.2">
      <c r="A439" s="57"/>
    </row>
    <row r="440" spans="1:1" x14ac:dyDescent="0.2">
      <c r="A440" s="57"/>
    </row>
    <row r="441" spans="1:1" x14ac:dyDescent="0.2">
      <c r="A441" s="57"/>
    </row>
    <row r="442" spans="1:1" x14ac:dyDescent="0.2">
      <c r="A442" s="57"/>
    </row>
    <row r="443" spans="1:1" x14ac:dyDescent="0.2">
      <c r="A443" s="57"/>
    </row>
    <row r="444" spans="1:1" x14ac:dyDescent="0.2">
      <c r="A444" s="57"/>
    </row>
    <row r="445" spans="1:1" x14ac:dyDescent="0.2">
      <c r="A445" s="57"/>
    </row>
    <row r="446" spans="1:1" x14ac:dyDescent="0.2">
      <c r="A446" s="57"/>
    </row>
    <row r="447" spans="1:1" x14ac:dyDescent="0.2">
      <c r="A447" s="57"/>
    </row>
    <row r="448" spans="1:1" x14ac:dyDescent="0.2">
      <c r="A448" s="57"/>
    </row>
    <row r="449" spans="1:1" x14ac:dyDescent="0.2">
      <c r="A449" s="57"/>
    </row>
    <row r="450" spans="1:1" x14ac:dyDescent="0.2">
      <c r="A450" s="57"/>
    </row>
    <row r="451" spans="1:1" x14ac:dyDescent="0.2">
      <c r="A451" s="57"/>
    </row>
    <row r="452" spans="1:1" x14ac:dyDescent="0.2">
      <c r="A452" s="57"/>
    </row>
    <row r="453" spans="1:1" x14ac:dyDescent="0.2">
      <c r="A453" s="57"/>
    </row>
    <row r="454" spans="1:1" x14ac:dyDescent="0.2">
      <c r="A454" s="57"/>
    </row>
    <row r="455" spans="1:1" x14ac:dyDescent="0.2">
      <c r="A455" s="57"/>
    </row>
    <row r="456" spans="1:1" x14ac:dyDescent="0.2">
      <c r="A456" s="57"/>
    </row>
    <row r="457" spans="1:1" x14ac:dyDescent="0.2">
      <c r="A457" s="57"/>
    </row>
    <row r="458" spans="1:1" x14ac:dyDescent="0.2">
      <c r="A458" s="57"/>
    </row>
    <row r="459" spans="1:1" x14ac:dyDescent="0.2">
      <c r="A459" s="57"/>
    </row>
    <row r="460" spans="1:1" x14ac:dyDescent="0.2">
      <c r="A460" s="57"/>
    </row>
    <row r="461" spans="1:1" x14ac:dyDescent="0.2">
      <c r="A461" s="57"/>
    </row>
    <row r="462" spans="1:1" x14ac:dyDescent="0.2">
      <c r="A462" s="57"/>
    </row>
    <row r="463" spans="1:1" x14ac:dyDescent="0.2">
      <c r="A463" s="57"/>
    </row>
    <row r="464" spans="1:1" x14ac:dyDescent="0.2">
      <c r="A464" s="57"/>
    </row>
    <row r="465" spans="1:1" x14ac:dyDescent="0.2">
      <c r="A465" s="57"/>
    </row>
    <row r="466" spans="1:1" x14ac:dyDescent="0.2">
      <c r="A466" s="57"/>
    </row>
    <row r="467" spans="1:1" x14ac:dyDescent="0.2">
      <c r="A467" s="57"/>
    </row>
    <row r="468" spans="1:1" x14ac:dyDescent="0.2">
      <c r="A468" s="57"/>
    </row>
    <row r="469" spans="1:1" x14ac:dyDescent="0.2">
      <c r="A469" s="57"/>
    </row>
    <row r="470" spans="1:1" x14ac:dyDescent="0.2">
      <c r="A470" s="57"/>
    </row>
    <row r="471" spans="1:1" x14ac:dyDescent="0.2">
      <c r="A471" s="57"/>
    </row>
    <row r="472" spans="1:1" x14ac:dyDescent="0.2">
      <c r="A472" s="57"/>
    </row>
    <row r="473" spans="1:1" x14ac:dyDescent="0.2">
      <c r="A473" s="57"/>
    </row>
    <row r="474" spans="1:1" x14ac:dyDescent="0.2">
      <c r="A474" s="57"/>
    </row>
    <row r="475" spans="1:1" x14ac:dyDescent="0.2">
      <c r="A475" s="57"/>
    </row>
    <row r="476" spans="1:1" x14ac:dyDescent="0.2">
      <c r="A476" s="57"/>
    </row>
    <row r="477" spans="1:1" x14ac:dyDescent="0.2">
      <c r="A477" s="57"/>
    </row>
    <row r="478" spans="1:1" x14ac:dyDescent="0.2">
      <c r="A478" s="57"/>
    </row>
    <row r="479" spans="1:1" x14ac:dyDescent="0.2">
      <c r="A479" s="57"/>
    </row>
    <row r="480" spans="1:1" x14ac:dyDescent="0.2">
      <c r="A480" s="57"/>
    </row>
    <row r="481" spans="1:1" x14ac:dyDescent="0.2">
      <c r="A481" s="57"/>
    </row>
    <row r="482" spans="1:1" x14ac:dyDescent="0.2">
      <c r="A482" s="57"/>
    </row>
    <row r="483" spans="1:1" x14ac:dyDescent="0.2">
      <c r="A483" s="57"/>
    </row>
    <row r="484" spans="1:1" x14ac:dyDescent="0.2">
      <c r="A484" s="57"/>
    </row>
    <row r="485" spans="1:1" x14ac:dyDescent="0.2">
      <c r="A485" s="57"/>
    </row>
    <row r="486" spans="1:1" x14ac:dyDescent="0.2">
      <c r="A486" s="57"/>
    </row>
    <row r="487" spans="1:1" x14ac:dyDescent="0.2">
      <c r="A487" s="57"/>
    </row>
    <row r="488" spans="1:1" x14ac:dyDescent="0.2">
      <c r="A488" s="57"/>
    </row>
    <row r="489" spans="1:1" x14ac:dyDescent="0.2">
      <c r="A489" s="57"/>
    </row>
    <row r="490" spans="1:1" x14ac:dyDescent="0.2">
      <c r="A490" s="57"/>
    </row>
    <row r="491" spans="1:1" x14ac:dyDescent="0.2">
      <c r="A491" s="57"/>
    </row>
    <row r="492" spans="1:1" x14ac:dyDescent="0.2">
      <c r="A492" s="57"/>
    </row>
    <row r="493" spans="1:1" x14ac:dyDescent="0.2">
      <c r="A493" s="57"/>
    </row>
    <row r="494" spans="1:1" x14ac:dyDescent="0.2">
      <c r="A494" s="57"/>
    </row>
    <row r="495" spans="1:1" x14ac:dyDescent="0.2">
      <c r="A495" s="57"/>
    </row>
    <row r="496" spans="1:1" x14ac:dyDescent="0.2">
      <c r="A496" s="57"/>
    </row>
    <row r="497" spans="1:1" x14ac:dyDescent="0.2">
      <c r="A497" s="57"/>
    </row>
    <row r="498" spans="1:1" x14ac:dyDescent="0.2">
      <c r="A498" s="57"/>
    </row>
    <row r="499" spans="1:1" x14ac:dyDescent="0.2">
      <c r="A499" s="57"/>
    </row>
    <row r="500" spans="1:1" x14ac:dyDescent="0.2">
      <c r="A500" s="57"/>
    </row>
    <row r="501" spans="1:1" x14ac:dyDescent="0.2">
      <c r="A501" s="57"/>
    </row>
    <row r="502" spans="1:1" x14ac:dyDescent="0.2">
      <c r="A502" s="57"/>
    </row>
    <row r="503" spans="1:1" x14ac:dyDescent="0.2">
      <c r="A503" s="57"/>
    </row>
    <row r="504" spans="1:1" x14ac:dyDescent="0.2">
      <c r="A504" s="57"/>
    </row>
    <row r="505" spans="1:1" x14ac:dyDescent="0.2">
      <c r="A505" s="57"/>
    </row>
    <row r="506" spans="1:1" x14ac:dyDescent="0.2">
      <c r="A506" s="57"/>
    </row>
    <row r="507" spans="1:1" x14ac:dyDescent="0.2">
      <c r="A507" s="57"/>
    </row>
    <row r="508" spans="1:1" x14ac:dyDescent="0.2">
      <c r="A508" s="57"/>
    </row>
    <row r="509" spans="1:1" x14ac:dyDescent="0.2">
      <c r="A509" s="57"/>
    </row>
    <row r="510" spans="1:1" x14ac:dyDescent="0.2">
      <c r="A510" s="57"/>
    </row>
    <row r="511" spans="1:1" x14ac:dyDescent="0.2">
      <c r="A511" s="57"/>
    </row>
    <row r="512" spans="1:1" x14ac:dyDescent="0.2">
      <c r="A512" s="57"/>
    </row>
    <row r="513" spans="1:1" x14ac:dyDescent="0.2">
      <c r="A513" s="57"/>
    </row>
    <row r="514" spans="1:1" x14ac:dyDescent="0.2">
      <c r="A514" s="57"/>
    </row>
    <row r="515" spans="1:1" x14ac:dyDescent="0.2">
      <c r="A515" s="57"/>
    </row>
    <row r="516" spans="1:1" x14ac:dyDescent="0.2">
      <c r="A516" s="57"/>
    </row>
    <row r="517" spans="1:1" x14ac:dyDescent="0.2">
      <c r="A517" s="57"/>
    </row>
    <row r="518" spans="1:1" x14ac:dyDescent="0.2">
      <c r="A518" s="57"/>
    </row>
    <row r="519" spans="1:1" x14ac:dyDescent="0.2">
      <c r="A519" s="57"/>
    </row>
    <row r="520" spans="1:1" x14ac:dyDescent="0.2">
      <c r="A520" s="57"/>
    </row>
    <row r="521" spans="1:1" x14ac:dyDescent="0.2">
      <c r="A521" s="57"/>
    </row>
    <row r="522" spans="1:1" x14ac:dyDescent="0.2">
      <c r="A522" s="57"/>
    </row>
    <row r="523" spans="1:1" x14ac:dyDescent="0.2">
      <c r="A523" s="57"/>
    </row>
    <row r="524" spans="1:1" x14ac:dyDescent="0.2">
      <c r="A524" s="57"/>
    </row>
    <row r="525" spans="1:1" x14ac:dyDescent="0.2">
      <c r="A525" s="57"/>
    </row>
    <row r="526" spans="1:1" x14ac:dyDescent="0.2">
      <c r="A526" s="57"/>
    </row>
    <row r="527" spans="1:1" x14ac:dyDescent="0.2">
      <c r="A527" s="57"/>
    </row>
    <row r="528" spans="1:1" x14ac:dyDescent="0.2">
      <c r="A528" s="57"/>
    </row>
    <row r="529" spans="1:1" x14ac:dyDescent="0.2">
      <c r="A529" s="57"/>
    </row>
    <row r="530" spans="1:1" x14ac:dyDescent="0.2">
      <c r="A530" s="57"/>
    </row>
    <row r="531" spans="1:1" x14ac:dyDescent="0.2">
      <c r="A531" s="57"/>
    </row>
    <row r="532" spans="1:1" x14ac:dyDescent="0.2">
      <c r="A532" s="57"/>
    </row>
    <row r="533" spans="1:1" x14ac:dyDescent="0.2">
      <c r="A533" s="57"/>
    </row>
    <row r="534" spans="1:1" x14ac:dyDescent="0.2">
      <c r="A534" s="57"/>
    </row>
    <row r="535" spans="1:1" x14ac:dyDescent="0.2">
      <c r="A535" s="57"/>
    </row>
    <row r="536" spans="1:1" x14ac:dyDescent="0.2">
      <c r="A536" s="57"/>
    </row>
    <row r="537" spans="1:1" x14ac:dyDescent="0.2">
      <c r="A537" s="57"/>
    </row>
    <row r="538" spans="1:1" x14ac:dyDescent="0.2">
      <c r="A538" s="57"/>
    </row>
    <row r="539" spans="1:1" x14ac:dyDescent="0.2">
      <c r="A539" s="57"/>
    </row>
    <row r="540" spans="1:1" x14ac:dyDescent="0.2">
      <c r="A540" s="57"/>
    </row>
    <row r="541" spans="1:1" x14ac:dyDescent="0.2">
      <c r="A541" s="57"/>
    </row>
    <row r="542" spans="1:1" x14ac:dyDescent="0.2">
      <c r="A542" s="57"/>
    </row>
    <row r="543" spans="1:1" x14ac:dyDescent="0.2">
      <c r="A543" s="57"/>
    </row>
    <row r="544" spans="1:1" x14ac:dyDescent="0.2">
      <c r="A544" s="57"/>
    </row>
    <row r="545" spans="1:1" x14ac:dyDescent="0.2">
      <c r="A545" s="57"/>
    </row>
    <row r="546" spans="1:1" x14ac:dyDescent="0.2">
      <c r="A546" s="57"/>
    </row>
    <row r="547" spans="1:1" x14ac:dyDescent="0.2">
      <c r="A547" s="57"/>
    </row>
    <row r="548" spans="1:1" x14ac:dyDescent="0.2">
      <c r="A548" s="57"/>
    </row>
    <row r="549" spans="1:1" x14ac:dyDescent="0.2">
      <c r="A549" s="57"/>
    </row>
    <row r="550" spans="1:1" x14ac:dyDescent="0.2">
      <c r="A550" s="57"/>
    </row>
    <row r="551" spans="1:1" x14ac:dyDescent="0.2">
      <c r="A551" s="57"/>
    </row>
    <row r="552" spans="1:1" x14ac:dyDescent="0.2">
      <c r="A552" s="57"/>
    </row>
    <row r="553" spans="1:1" x14ac:dyDescent="0.2">
      <c r="A553" s="57"/>
    </row>
    <row r="554" spans="1:1" x14ac:dyDescent="0.2">
      <c r="A554" s="57"/>
    </row>
    <row r="555" spans="1:1" x14ac:dyDescent="0.2">
      <c r="A555" s="57"/>
    </row>
    <row r="556" spans="1:1" x14ac:dyDescent="0.2">
      <c r="A556" s="57"/>
    </row>
    <row r="557" spans="1:1" x14ac:dyDescent="0.2">
      <c r="A557" s="57"/>
    </row>
    <row r="558" spans="1:1" x14ac:dyDescent="0.2">
      <c r="A558" s="57"/>
    </row>
    <row r="559" spans="1:1" x14ac:dyDescent="0.2">
      <c r="A559" s="57"/>
    </row>
    <row r="560" spans="1:1" x14ac:dyDescent="0.2">
      <c r="A560" s="57"/>
    </row>
    <row r="561" spans="1:1" x14ac:dyDescent="0.2">
      <c r="A561" s="57"/>
    </row>
    <row r="562" spans="1:1" x14ac:dyDescent="0.2">
      <c r="A562" s="57"/>
    </row>
    <row r="563" spans="1:1" x14ac:dyDescent="0.2">
      <c r="A563" s="57"/>
    </row>
    <row r="564" spans="1:1" x14ac:dyDescent="0.2">
      <c r="A564" s="57"/>
    </row>
    <row r="565" spans="1:1" x14ac:dyDescent="0.2">
      <c r="A565" s="57"/>
    </row>
    <row r="566" spans="1:1" x14ac:dyDescent="0.2">
      <c r="A566" s="57"/>
    </row>
    <row r="567" spans="1:1" x14ac:dyDescent="0.2">
      <c r="A567" s="57"/>
    </row>
    <row r="568" spans="1:1" x14ac:dyDescent="0.2">
      <c r="A568" s="57"/>
    </row>
    <row r="569" spans="1:1" x14ac:dyDescent="0.2">
      <c r="A569" s="57"/>
    </row>
    <row r="570" spans="1:1" x14ac:dyDescent="0.2">
      <c r="A570" s="57"/>
    </row>
    <row r="571" spans="1:1" x14ac:dyDescent="0.2">
      <c r="A571" s="57"/>
    </row>
    <row r="572" spans="1:1" x14ac:dyDescent="0.2">
      <c r="A572" s="57"/>
    </row>
    <row r="573" spans="1:1" x14ac:dyDescent="0.2">
      <c r="A573" s="57"/>
    </row>
    <row r="574" spans="1:1" x14ac:dyDescent="0.2">
      <c r="A574" s="57"/>
    </row>
    <row r="575" spans="1:1" x14ac:dyDescent="0.2">
      <c r="A575" s="57"/>
    </row>
    <row r="576" spans="1:1" x14ac:dyDescent="0.2">
      <c r="A576" s="57"/>
    </row>
    <row r="577" spans="1:1" x14ac:dyDescent="0.2">
      <c r="A577" s="57"/>
    </row>
    <row r="578" spans="1:1" x14ac:dyDescent="0.2">
      <c r="A578" s="57"/>
    </row>
    <row r="579" spans="1:1" x14ac:dyDescent="0.2">
      <c r="A579" s="57"/>
    </row>
    <row r="580" spans="1:1" x14ac:dyDescent="0.2">
      <c r="A580" s="57"/>
    </row>
    <row r="581" spans="1:1" x14ac:dyDescent="0.2">
      <c r="A581" s="57"/>
    </row>
    <row r="582" spans="1:1" x14ac:dyDescent="0.2">
      <c r="A582" s="57"/>
    </row>
    <row r="583" spans="1:1" x14ac:dyDescent="0.2">
      <c r="A583" s="57"/>
    </row>
    <row r="584" spans="1:1" x14ac:dyDescent="0.2">
      <c r="A584" s="57"/>
    </row>
    <row r="585" spans="1:1" x14ac:dyDescent="0.2">
      <c r="A585" s="57"/>
    </row>
    <row r="586" spans="1:1" x14ac:dyDescent="0.2">
      <c r="A586" s="57"/>
    </row>
    <row r="587" spans="1:1" x14ac:dyDescent="0.2">
      <c r="A587" s="57"/>
    </row>
    <row r="588" spans="1:1" x14ac:dyDescent="0.2">
      <c r="A588" s="57"/>
    </row>
    <row r="589" spans="1:1" x14ac:dyDescent="0.2">
      <c r="A589" s="57"/>
    </row>
    <row r="590" spans="1:1" x14ac:dyDescent="0.2">
      <c r="A590" s="57"/>
    </row>
    <row r="591" spans="1:1" x14ac:dyDescent="0.2">
      <c r="A591" s="57"/>
    </row>
    <row r="592" spans="1:1" x14ac:dyDescent="0.2">
      <c r="A592" s="57"/>
    </row>
    <row r="593" spans="1:1" x14ac:dyDescent="0.2">
      <c r="A593" s="57"/>
    </row>
    <row r="594" spans="1:1" x14ac:dyDescent="0.2">
      <c r="A594" s="57"/>
    </row>
    <row r="595" spans="1:1" x14ac:dyDescent="0.2">
      <c r="A595" s="57"/>
    </row>
    <row r="596" spans="1:1" x14ac:dyDescent="0.2">
      <c r="A596" s="57"/>
    </row>
    <row r="597" spans="1:1" x14ac:dyDescent="0.2">
      <c r="A597" s="57"/>
    </row>
    <row r="598" spans="1:1" x14ac:dyDescent="0.2">
      <c r="A598" s="57"/>
    </row>
    <row r="599" spans="1:1" x14ac:dyDescent="0.2">
      <c r="A599" s="57"/>
    </row>
    <row r="600" spans="1:1" x14ac:dyDescent="0.2">
      <c r="A600" s="57"/>
    </row>
    <row r="601" spans="1:1" x14ac:dyDescent="0.2">
      <c r="A601" s="57"/>
    </row>
    <row r="602" spans="1:1" x14ac:dyDescent="0.2">
      <c r="A602" s="57"/>
    </row>
    <row r="603" spans="1:1" x14ac:dyDescent="0.2">
      <c r="A603" s="57"/>
    </row>
    <row r="604" spans="1:1" x14ac:dyDescent="0.2">
      <c r="A604" s="57"/>
    </row>
    <row r="605" spans="1:1" x14ac:dyDescent="0.2">
      <c r="A605" s="57"/>
    </row>
    <row r="606" spans="1:1" x14ac:dyDescent="0.2">
      <c r="A606" s="57"/>
    </row>
    <row r="607" spans="1:1" x14ac:dyDescent="0.2">
      <c r="A607" s="57"/>
    </row>
    <row r="608" spans="1:1" x14ac:dyDescent="0.2">
      <c r="A608" s="57"/>
    </row>
    <row r="609" spans="1:1" x14ac:dyDescent="0.2">
      <c r="A609" s="57"/>
    </row>
    <row r="610" spans="1:1" x14ac:dyDescent="0.2">
      <c r="A610" s="57"/>
    </row>
    <row r="611" spans="1:1" x14ac:dyDescent="0.2">
      <c r="A611" s="57"/>
    </row>
    <row r="612" spans="1:1" x14ac:dyDescent="0.2">
      <c r="A612" s="57"/>
    </row>
    <row r="613" spans="1:1" x14ac:dyDescent="0.2">
      <c r="A613" s="57"/>
    </row>
    <row r="614" spans="1:1" x14ac:dyDescent="0.2">
      <c r="A614" s="57"/>
    </row>
    <row r="615" spans="1:1" x14ac:dyDescent="0.2">
      <c r="A615" s="57"/>
    </row>
    <row r="616" spans="1:1" x14ac:dyDescent="0.2">
      <c r="A616" s="57"/>
    </row>
    <row r="617" spans="1:1" x14ac:dyDescent="0.2">
      <c r="A617" s="57"/>
    </row>
    <row r="618" spans="1:1" x14ac:dyDescent="0.2">
      <c r="A618" s="57"/>
    </row>
    <row r="619" spans="1:1" x14ac:dyDescent="0.2">
      <c r="A619" s="57"/>
    </row>
    <row r="620" spans="1:1" x14ac:dyDescent="0.2">
      <c r="A620" s="57"/>
    </row>
    <row r="621" spans="1:1" x14ac:dyDescent="0.2">
      <c r="A621" s="57"/>
    </row>
    <row r="622" spans="1:1" x14ac:dyDescent="0.2">
      <c r="A622" s="57"/>
    </row>
    <row r="623" spans="1:1" x14ac:dyDescent="0.2">
      <c r="A623" s="57"/>
    </row>
    <row r="624" spans="1:1" x14ac:dyDescent="0.2">
      <c r="A624" s="57"/>
    </row>
    <row r="625" spans="1:1" x14ac:dyDescent="0.2">
      <c r="A625" s="57"/>
    </row>
    <row r="626" spans="1:1" x14ac:dyDescent="0.2">
      <c r="A626" s="57"/>
    </row>
    <row r="627" spans="1:1" x14ac:dyDescent="0.2">
      <c r="A627" s="57"/>
    </row>
    <row r="628" spans="1:1" x14ac:dyDescent="0.2">
      <c r="A628" s="57"/>
    </row>
    <row r="629" spans="1:1" x14ac:dyDescent="0.2">
      <c r="A629" s="57"/>
    </row>
    <row r="630" spans="1:1" x14ac:dyDescent="0.2">
      <c r="A630" s="57"/>
    </row>
    <row r="631" spans="1:1" x14ac:dyDescent="0.2">
      <c r="A631" s="57"/>
    </row>
    <row r="632" spans="1:1" x14ac:dyDescent="0.2">
      <c r="A632" s="57"/>
    </row>
    <row r="633" spans="1:1" x14ac:dyDescent="0.2">
      <c r="A633" s="57"/>
    </row>
    <row r="634" spans="1:1" x14ac:dyDescent="0.2">
      <c r="A634" s="57"/>
    </row>
    <row r="635" spans="1:1" x14ac:dyDescent="0.2">
      <c r="A635" s="57"/>
    </row>
    <row r="636" spans="1:1" x14ac:dyDescent="0.2">
      <c r="A636" s="57"/>
    </row>
    <row r="637" spans="1:1" x14ac:dyDescent="0.2">
      <c r="A637" s="57"/>
    </row>
    <row r="638" spans="1:1" x14ac:dyDescent="0.2">
      <c r="A638" s="57"/>
    </row>
    <row r="639" spans="1:1" x14ac:dyDescent="0.2">
      <c r="A639" s="57"/>
    </row>
    <row r="640" spans="1:1" x14ac:dyDescent="0.2">
      <c r="A640" s="57"/>
    </row>
    <row r="641" spans="1:1" x14ac:dyDescent="0.2">
      <c r="A641" s="57"/>
    </row>
    <row r="642" spans="1:1" x14ac:dyDescent="0.2">
      <c r="A642" s="57"/>
    </row>
    <row r="643" spans="1:1" x14ac:dyDescent="0.2">
      <c r="A643" s="57"/>
    </row>
    <row r="644" spans="1:1" x14ac:dyDescent="0.2">
      <c r="A644" s="57"/>
    </row>
    <row r="645" spans="1:1" x14ac:dyDescent="0.2">
      <c r="A645" s="57"/>
    </row>
    <row r="646" spans="1:1" x14ac:dyDescent="0.2">
      <c r="A646" s="57"/>
    </row>
    <row r="647" spans="1:1" x14ac:dyDescent="0.2">
      <c r="A647" s="57"/>
    </row>
    <row r="648" spans="1:1" x14ac:dyDescent="0.2">
      <c r="A648" s="57"/>
    </row>
    <row r="649" spans="1:1" x14ac:dyDescent="0.2">
      <c r="A649" s="57"/>
    </row>
    <row r="650" spans="1:1" x14ac:dyDescent="0.2">
      <c r="A650" s="57"/>
    </row>
    <row r="651" spans="1:1" x14ac:dyDescent="0.2">
      <c r="A651" s="57"/>
    </row>
    <row r="652" spans="1:1" x14ac:dyDescent="0.2">
      <c r="A652" s="57"/>
    </row>
    <row r="653" spans="1:1" x14ac:dyDescent="0.2">
      <c r="A653" s="57"/>
    </row>
    <row r="654" spans="1:1" x14ac:dyDescent="0.2">
      <c r="A654" s="57"/>
    </row>
    <row r="655" spans="1:1" x14ac:dyDescent="0.2">
      <c r="A655" s="57"/>
    </row>
    <row r="656" spans="1:1" x14ac:dyDescent="0.2">
      <c r="A656" s="57"/>
    </row>
    <row r="657" spans="1:1" x14ac:dyDescent="0.2">
      <c r="A657" s="57"/>
    </row>
    <row r="658" spans="1:1" x14ac:dyDescent="0.2">
      <c r="A658" s="57"/>
    </row>
    <row r="659" spans="1:1" x14ac:dyDescent="0.2">
      <c r="A659" s="57"/>
    </row>
    <row r="660" spans="1:1" x14ac:dyDescent="0.2">
      <c r="A660" s="57"/>
    </row>
    <row r="661" spans="1:1" x14ac:dyDescent="0.2">
      <c r="A661" s="57"/>
    </row>
    <row r="662" spans="1:1" x14ac:dyDescent="0.2">
      <c r="A662" s="57"/>
    </row>
    <row r="663" spans="1:1" x14ac:dyDescent="0.2">
      <c r="A663" s="57"/>
    </row>
    <row r="664" spans="1:1" x14ac:dyDescent="0.2">
      <c r="A664" s="57"/>
    </row>
    <row r="665" spans="1:1" x14ac:dyDescent="0.2">
      <c r="A665" s="57"/>
    </row>
    <row r="666" spans="1:1" x14ac:dyDescent="0.2">
      <c r="A666" s="57"/>
    </row>
    <row r="667" spans="1:1" x14ac:dyDescent="0.2">
      <c r="A667" s="57"/>
    </row>
    <row r="668" spans="1:1" x14ac:dyDescent="0.2">
      <c r="A668" s="57"/>
    </row>
    <row r="669" spans="1:1" x14ac:dyDescent="0.2">
      <c r="A669" s="57"/>
    </row>
    <row r="670" spans="1:1" x14ac:dyDescent="0.2">
      <c r="A670" s="57"/>
    </row>
    <row r="671" spans="1:1" x14ac:dyDescent="0.2">
      <c r="A671" s="57"/>
    </row>
    <row r="672" spans="1:1" x14ac:dyDescent="0.2">
      <c r="A672" s="57"/>
    </row>
    <row r="673" spans="1:1" x14ac:dyDescent="0.2">
      <c r="A673" s="57"/>
    </row>
    <row r="674" spans="1:1" x14ac:dyDescent="0.2">
      <c r="A674" s="57"/>
    </row>
    <row r="675" spans="1:1" x14ac:dyDescent="0.2">
      <c r="A675" s="57"/>
    </row>
    <row r="676" spans="1:1" x14ac:dyDescent="0.2">
      <c r="A676" s="57"/>
    </row>
    <row r="677" spans="1:1" x14ac:dyDescent="0.2">
      <c r="A677" s="57"/>
    </row>
    <row r="678" spans="1:1" x14ac:dyDescent="0.2">
      <c r="A678" s="57"/>
    </row>
    <row r="679" spans="1:1" x14ac:dyDescent="0.2">
      <c r="A679" s="57"/>
    </row>
    <row r="680" spans="1:1" x14ac:dyDescent="0.2">
      <c r="A680" s="57"/>
    </row>
    <row r="681" spans="1:1" x14ac:dyDescent="0.2">
      <c r="A681" s="57"/>
    </row>
    <row r="682" spans="1:1" x14ac:dyDescent="0.2">
      <c r="A682" s="57"/>
    </row>
    <row r="683" spans="1:1" x14ac:dyDescent="0.2">
      <c r="A683" s="57"/>
    </row>
    <row r="684" spans="1:1" x14ac:dyDescent="0.2">
      <c r="A684" s="57"/>
    </row>
    <row r="685" spans="1:1" x14ac:dyDescent="0.2">
      <c r="A685" s="57"/>
    </row>
    <row r="686" spans="1:1" x14ac:dyDescent="0.2">
      <c r="A686" s="57"/>
    </row>
    <row r="687" spans="1:1" x14ac:dyDescent="0.2">
      <c r="A687" s="57"/>
    </row>
    <row r="688" spans="1:1" x14ac:dyDescent="0.2">
      <c r="A688" s="57"/>
    </row>
    <row r="689" spans="1:1" x14ac:dyDescent="0.2">
      <c r="A689" s="57"/>
    </row>
    <row r="690" spans="1:1" x14ac:dyDescent="0.2">
      <c r="A690" s="57"/>
    </row>
    <row r="691" spans="1:1" x14ac:dyDescent="0.2">
      <c r="A691" s="57"/>
    </row>
    <row r="692" spans="1:1" x14ac:dyDescent="0.2">
      <c r="A692" s="57"/>
    </row>
    <row r="693" spans="1:1" x14ac:dyDescent="0.2">
      <c r="A693" s="57"/>
    </row>
    <row r="694" spans="1:1" x14ac:dyDescent="0.2">
      <c r="A694" s="57"/>
    </row>
    <row r="695" spans="1:1" x14ac:dyDescent="0.2">
      <c r="A695" s="57"/>
    </row>
    <row r="696" spans="1:1" x14ac:dyDescent="0.2">
      <c r="A696" s="57"/>
    </row>
    <row r="697" spans="1:1" x14ac:dyDescent="0.2">
      <c r="A697" s="57"/>
    </row>
    <row r="698" spans="1:1" x14ac:dyDescent="0.2">
      <c r="A698" s="57"/>
    </row>
    <row r="699" spans="1:1" x14ac:dyDescent="0.2">
      <c r="A699" s="57"/>
    </row>
    <row r="700" spans="1:1" x14ac:dyDescent="0.2">
      <c r="A700" s="57"/>
    </row>
    <row r="701" spans="1:1" x14ac:dyDescent="0.2">
      <c r="A701" s="57"/>
    </row>
    <row r="702" spans="1:1" x14ac:dyDescent="0.2">
      <c r="A702" s="57"/>
    </row>
    <row r="703" spans="1:1" x14ac:dyDescent="0.2">
      <c r="A703" s="57"/>
    </row>
    <row r="704" spans="1:1" x14ac:dyDescent="0.2">
      <c r="A704" s="57"/>
    </row>
    <row r="705" spans="1:1" x14ac:dyDescent="0.2">
      <c r="A705" s="57"/>
    </row>
    <row r="706" spans="1:1" x14ac:dyDescent="0.2">
      <c r="A706" s="57"/>
    </row>
    <row r="707" spans="1:1" x14ac:dyDescent="0.2">
      <c r="A707" s="57"/>
    </row>
    <row r="708" spans="1:1" x14ac:dyDescent="0.2">
      <c r="A708" s="57"/>
    </row>
    <row r="709" spans="1:1" x14ac:dyDescent="0.2">
      <c r="A709" s="57"/>
    </row>
    <row r="710" spans="1:1" x14ac:dyDescent="0.2">
      <c r="A710" s="57"/>
    </row>
    <row r="711" spans="1:1" x14ac:dyDescent="0.2">
      <c r="A711" s="57"/>
    </row>
    <row r="712" spans="1:1" x14ac:dyDescent="0.2">
      <c r="A712" s="57"/>
    </row>
    <row r="713" spans="1:1" x14ac:dyDescent="0.2">
      <c r="A713" s="57"/>
    </row>
    <row r="714" spans="1:1" x14ac:dyDescent="0.2">
      <c r="A714" s="57"/>
    </row>
    <row r="715" spans="1:1" x14ac:dyDescent="0.2">
      <c r="A715" s="57"/>
    </row>
    <row r="716" spans="1:1" x14ac:dyDescent="0.2">
      <c r="A716" s="57"/>
    </row>
    <row r="717" spans="1:1" x14ac:dyDescent="0.2">
      <c r="A717" s="57"/>
    </row>
    <row r="718" spans="1:1" x14ac:dyDescent="0.2">
      <c r="A718" s="57"/>
    </row>
    <row r="719" spans="1:1" x14ac:dyDescent="0.2">
      <c r="A719" s="57"/>
    </row>
    <row r="720" spans="1:1" x14ac:dyDescent="0.2">
      <c r="A720" s="57"/>
    </row>
    <row r="721" spans="1:1" x14ac:dyDescent="0.2">
      <c r="A721" s="57"/>
    </row>
    <row r="722" spans="1:1" x14ac:dyDescent="0.2">
      <c r="A722" s="57"/>
    </row>
    <row r="723" spans="1:1" x14ac:dyDescent="0.2">
      <c r="A723" s="57"/>
    </row>
    <row r="724" spans="1:1" x14ac:dyDescent="0.2">
      <c r="A724" s="57"/>
    </row>
    <row r="725" spans="1:1" x14ac:dyDescent="0.2">
      <c r="A725" s="57"/>
    </row>
    <row r="726" spans="1:1" x14ac:dyDescent="0.2">
      <c r="A726" s="57"/>
    </row>
    <row r="727" spans="1:1" x14ac:dyDescent="0.2">
      <c r="A727" s="57"/>
    </row>
    <row r="728" spans="1:1" x14ac:dyDescent="0.2">
      <c r="A728" s="57"/>
    </row>
    <row r="729" spans="1:1" x14ac:dyDescent="0.2">
      <c r="A729" s="57"/>
    </row>
    <row r="730" spans="1:1" x14ac:dyDescent="0.2">
      <c r="A730" s="57"/>
    </row>
    <row r="731" spans="1:1" x14ac:dyDescent="0.2">
      <c r="A731" s="57"/>
    </row>
    <row r="732" spans="1:1" x14ac:dyDescent="0.2">
      <c r="A732" s="57"/>
    </row>
    <row r="733" spans="1:1" x14ac:dyDescent="0.2">
      <c r="A733" s="57"/>
    </row>
    <row r="734" spans="1:1" x14ac:dyDescent="0.2">
      <c r="A734" s="57"/>
    </row>
    <row r="735" spans="1:1" x14ac:dyDescent="0.2">
      <c r="A735" s="57"/>
    </row>
    <row r="736" spans="1:1" x14ac:dyDescent="0.2">
      <c r="A736" s="57"/>
    </row>
    <row r="737" spans="1:1" x14ac:dyDescent="0.2">
      <c r="A737" s="57"/>
    </row>
    <row r="738" spans="1:1" x14ac:dyDescent="0.2">
      <c r="A738" s="57"/>
    </row>
    <row r="739" spans="1:1" x14ac:dyDescent="0.2">
      <c r="A739" s="57"/>
    </row>
    <row r="740" spans="1:1" x14ac:dyDescent="0.2">
      <c r="A740" s="57"/>
    </row>
    <row r="741" spans="1:1" x14ac:dyDescent="0.2">
      <c r="A741" s="57"/>
    </row>
    <row r="742" spans="1:1" x14ac:dyDescent="0.2">
      <c r="A742" s="57"/>
    </row>
    <row r="743" spans="1:1" x14ac:dyDescent="0.2">
      <c r="A743" s="57"/>
    </row>
    <row r="744" spans="1:1" x14ac:dyDescent="0.2">
      <c r="A744" s="57"/>
    </row>
    <row r="745" spans="1:1" x14ac:dyDescent="0.2">
      <c r="A745" s="57"/>
    </row>
    <row r="746" spans="1:1" x14ac:dyDescent="0.2">
      <c r="A746" s="57"/>
    </row>
    <row r="747" spans="1:1" x14ac:dyDescent="0.2">
      <c r="A747" s="57"/>
    </row>
    <row r="748" spans="1:1" x14ac:dyDescent="0.2">
      <c r="A748" s="57"/>
    </row>
    <row r="749" spans="1:1" x14ac:dyDescent="0.2">
      <c r="A749" s="57"/>
    </row>
    <row r="750" spans="1:1" x14ac:dyDescent="0.2">
      <c r="A750" s="57"/>
    </row>
    <row r="751" spans="1:1" x14ac:dyDescent="0.2">
      <c r="A751" s="57"/>
    </row>
    <row r="752" spans="1:1" x14ac:dyDescent="0.2">
      <c r="A752" s="57"/>
    </row>
    <row r="753" spans="1:1" x14ac:dyDescent="0.2">
      <c r="A753" s="57"/>
    </row>
    <row r="754" spans="1:1" x14ac:dyDescent="0.2">
      <c r="A754" s="57"/>
    </row>
    <row r="755" spans="1:1" x14ac:dyDescent="0.2">
      <c r="A755" s="57"/>
    </row>
    <row r="756" spans="1:1" x14ac:dyDescent="0.2">
      <c r="A756" s="57"/>
    </row>
    <row r="757" spans="1:1" x14ac:dyDescent="0.2">
      <c r="A757" s="57"/>
    </row>
    <row r="758" spans="1:1" x14ac:dyDescent="0.2">
      <c r="A758" s="57"/>
    </row>
    <row r="759" spans="1:1" x14ac:dyDescent="0.2">
      <c r="A759" s="57"/>
    </row>
    <row r="760" spans="1:1" x14ac:dyDescent="0.2">
      <c r="A760" s="57"/>
    </row>
    <row r="761" spans="1:1" x14ac:dyDescent="0.2">
      <c r="A761" s="57"/>
    </row>
    <row r="762" spans="1:1" x14ac:dyDescent="0.2">
      <c r="A762" s="57"/>
    </row>
    <row r="763" spans="1:1" x14ac:dyDescent="0.2">
      <c r="A763" s="57"/>
    </row>
    <row r="764" spans="1:1" x14ac:dyDescent="0.2">
      <c r="A764" s="57"/>
    </row>
    <row r="765" spans="1:1" x14ac:dyDescent="0.2">
      <c r="A765" s="57"/>
    </row>
    <row r="766" spans="1:1" x14ac:dyDescent="0.2">
      <c r="A766" s="57"/>
    </row>
    <row r="767" spans="1:1" x14ac:dyDescent="0.2">
      <c r="A767" s="57"/>
    </row>
    <row r="768" spans="1:1" x14ac:dyDescent="0.2">
      <c r="A768" s="57"/>
    </row>
    <row r="769" spans="1:1" x14ac:dyDescent="0.2">
      <c r="A769" s="57"/>
    </row>
    <row r="770" spans="1:1" x14ac:dyDescent="0.2">
      <c r="A770" s="57"/>
    </row>
    <row r="771" spans="1:1" x14ac:dyDescent="0.2">
      <c r="A771" s="57"/>
    </row>
    <row r="772" spans="1:1" x14ac:dyDescent="0.2">
      <c r="A772" s="57"/>
    </row>
    <row r="773" spans="1:1" x14ac:dyDescent="0.2">
      <c r="A773" s="57"/>
    </row>
    <row r="774" spans="1:1" x14ac:dyDescent="0.2">
      <c r="A774" s="57"/>
    </row>
    <row r="775" spans="1:1" x14ac:dyDescent="0.2">
      <c r="A775" s="57"/>
    </row>
    <row r="776" spans="1:1" x14ac:dyDescent="0.2">
      <c r="A776" s="57"/>
    </row>
    <row r="777" spans="1:1" x14ac:dyDescent="0.2">
      <c r="A777" s="57"/>
    </row>
    <row r="778" spans="1:1" x14ac:dyDescent="0.2">
      <c r="A778" s="57"/>
    </row>
    <row r="779" spans="1:1" x14ac:dyDescent="0.2">
      <c r="A779" s="57"/>
    </row>
    <row r="780" spans="1:1" x14ac:dyDescent="0.2">
      <c r="A780" s="57"/>
    </row>
    <row r="781" spans="1:1" x14ac:dyDescent="0.2">
      <c r="A781" s="57"/>
    </row>
    <row r="782" spans="1:1" x14ac:dyDescent="0.2">
      <c r="A782" s="57"/>
    </row>
    <row r="783" spans="1:1" x14ac:dyDescent="0.2">
      <c r="A783" s="57"/>
    </row>
    <row r="784" spans="1:1" x14ac:dyDescent="0.2">
      <c r="A784" s="57"/>
    </row>
    <row r="785" spans="1:1" x14ac:dyDescent="0.2">
      <c r="A785" s="57"/>
    </row>
    <row r="786" spans="1:1" x14ac:dyDescent="0.2">
      <c r="A786" s="57"/>
    </row>
    <row r="787" spans="1:1" x14ac:dyDescent="0.2">
      <c r="A787" s="57"/>
    </row>
    <row r="788" spans="1:1" x14ac:dyDescent="0.2">
      <c r="A788" s="57"/>
    </row>
    <row r="789" spans="1:1" x14ac:dyDescent="0.2">
      <c r="A789" s="57"/>
    </row>
    <row r="790" spans="1:1" x14ac:dyDescent="0.2">
      <c r="A790" s="57"/>
    </row>
    <row r="791" spans="1:1" x14ac:dyDescent="0.2">
      <c r="A791" s="57"/>
    </row>
    <row r="792" spans="1:1" x14ac:dyDescent="0.2">
      <c r="A792" s="57"/>
    </row>
    <row r="793" spans="1:1" x14ac:dyDescent="0.2">
      <c r="A793" s="57"/>
    </row>
    <row r="794" spans="1:1" x14ac:dyDescent="0.2">
      <c r="A794" s="57"/>
    </row>
    <row r="795" spans="1:1" x14ac:dyDescent="0.2">
      <c r="A795" s="57"/>
    </row>
    <row r="796" spans="1:1" x14ac:dyDescent="0.2">
      <c r="A796" s="57"/>
    </row>
    <row r="797" spans="1:1" x14ac:dyDescent="0.2">
      <c r="A797" s="57"/>
    </row>
    <row r="798" spans="1:1" x14ac:dyDescent="0.2">
      <c r="A798" s="57"/>
    </row>
    <row r="799" spans="1:1" x14ac:dyDescent="0.2">
      <c r="A799" s="57"/>
    </row>
    <row r="800" spans="1:1" x14ac:dyDescent="0.2">
      <c r="A800" s="57"/>
    </row>
    <row r="801" spans="1:1" x14ac:dyDescent="0.2">
      <c r="A801" s="57"/>
    </row>
    <row r="802" spans="1:1" x14ac:dyDescent="0.2">
      <c r="A802" s="57"/>
    </row>
    <row r="803" spans="1:1" x14ac:dyDescent="0.2">
      <c r="A803" s="57"/>
    </row>
    <row r="804" spans="1:1" x14ac:dyDescent="0.2">
      <c r="A804" s="57"/>
    </row>
    <row r="805" spans="1:1" x14ac:dyDescent="0.2">
      <c r="A805" s="57"/>
    </row>
    <row r="806" spans="1:1" x14ac:dyDescent="0.2">
      <c r="A806" s="57"/>
    </row>
    <row r="807" spans="1:1" x14ac:dyDescent="0.2">
      <c r="A807" s="57"/>
    </row>
    <row r="808" spans="1:1" x14ac:dyDescent="0.2">
      <c r="A808" s="57"/>
    </row>
    <row r="809" spans="1:1" x14ac:dyDescent="0.2">
      <c r="A809" s="57"/>
    </row>
    <row r="810" spans="1:1" x14ac:dyDescent="0.2">
      <c r="A810" s="57"/>
    </row>
    <row r="811" spans="1:1" x14ac:dyDescent="0.2">
      <c r="A811" s="57"/>
    </row>
    <row r="812" spans="1:1" x14ac:dyDescent="0.2">
      <c r="A812" s="57"/>
    </row>
    <row r="813" spans="1:1" x14ac:dyDescent="0.2">
      <c r="A813" s="57"/>
    </row>
    <row r="814" spans="1:1" x14ac:dyDescent="0.2">
      <c r="A814" s="57"/>
    </row>
    <row r="815" spans="1:1" x14ac:dyDescent="0.2">
      <c r="A815" s="57"/>
    </row>
    <row r="816" spans="1:1" x14ac:dyDescent="0.2">
      <c r="A816" s="57"/>
    </row>
    <row r="817" spans="1:1" x14ac:dyDescent="0.2">
      <c r="A817" s="57"/>
    </row>
    <row r="818" spans="1:1" x14ac:dyDescent="0.2">
      <c r="A818" s="57"/>
    </row>
    <row r="819" spans="1:1" x14ac:dyDescent="0.2">
      <c r="A819" s="57"/>
    </row>
    <row r="820" spans="1:1" x14ac:dyDescent="0.2">
      <c r="A820" s="57"/>
    </row>
    <row r="821" spans="1:1" x14ac:dyDescent="0.2">
      <c r="A821" s="57"/>
    </row>
    <row r="822" spans="1:1" x14ac:dyDescent="0.2">
      <c r="A822" s="57"/>
    </row>
    <row r="823" spans="1:1" x14ac:dyDescent="0.2">
      <c r="A823" s="57"/>
    </row>
    <row r="824" spans="1:1" x14ac:dyDescent="0.2">
      <c r="A824" s="57"/>
    </row>
    <row r="825" spans="1:1" x14ac:dyDescent="0.2">
      <c r="A825" s="57"/>
    </row>
    <row r="826" spans="1:1" x14ac:dyDescent="0.2">
      <c r="A826" s="57"/>
    </row>
    <row r="827" spans="1:1" x14ac:dyDescent="0.2">
      <c r="A827" s="57"/>
    </row>
    <row r="828" spans="1:1" x14ac:dyDescent="0.2">
      <c r="A828" s="57"/>
    </row>
    <row r="829" spans="1:1" x14ac:dyDescent="0.2">
      <c r="A829" s="57"/>
    </row>
    <row r="830" spans="1:1" x14ac:dyDescent="0.2">
      <c r="A830" s="57"/>
    </row>
    <row r="831" spans="1:1" x14ac:dyDescent="0.2">
      <c r="A831" s="57"/>
    </row>
    <row r="832" spans="1:1" x14ac:dyDescent="0.2">
      <c r="A832" s="57"/>
    </row>
    <row r="833" spans="1:1" x14ac:dyDescent="0.2">
      <c r="A833" s="57"/>
    </row>
    <row r="834" spans="1:1" x14ac:dyDescent="0.2">
      <c r="A834" s="57"/>
    </row>
    <row r="835" spans="1:1" x14ac:dyDescent="0.2">
      <c r="A835" s="57"/>
    </row>
    <row r="836" spans="1:1" x14ac:dyDescent="0.2">
      <c r="A836" s="57"/>
    </row>
    <row r="837" spans="1:1" x14ac:dyDescent="0.2">
      <c r="A837" s="57"/>
    </row>
    <row r="838" spans="1:1" x14ac:dyDescent="0.2">
      <c r="A838" s="57"/>
    </row>
    <row r="839" spans="1:1" x14ac:dyDescent="0.2">
      <c r="A839" s="57"/>
    </row>
    <row r="840" spans="1:1" x14ac:dyDescent="0.2">
      <c r="A840" s="57"/>
    </row>
    <row r="841" spans="1:1" x14ac:dyDescent="0.2">
      <c r="A841" s="57"/>
    </row>
    <row r="842" spans="1:1" x14ac:dyDescent="0.2">
      <c r="A842" s="57"/>
    </row>
    <row r="843" spans="1:1" x14ac:dyDescent="0.2">
      <c r="A843" s="57"/>
    </row>
    <row r="844" spans="1:1" x14ac:dyDescent="0.2">
      <c r="A844" s="57"/>
    </row>
    <row r="845" spans="1:1" x14ac:dyDescent="0.2">
      <c r="A845" s="57"/>
    </row>
    <row r="846" spans="1:1" x14ac:dyDescent="0.2">
      <c r="A846" s="57"/>
    </row>
    <row r="847" spans="1:1" x14ac:dyDescent="0.2">
      <c r="A847" s="57"/>
    </row>
    <row r="848" spans="1:1" x14ac:dyDescent="0.2">
      <c r="A848" s="57"/>
    </row>
    <row r="849" spans="1:1" x14ac:dyDescent="0.2">
      <c r="A849" s="57"/>
    </row>
    <row r="850" spans="1:1" x14ac:dyDescent="0.2">
      <c r="A850" s="57"/>
    </row>
    <row r="851" spans="1:1" x14ac:dyDescent="0.2">
      <c r="A851" s="57"/>
    </row>
    <row r="852" spans="1:1" x14ac:dyDescent="0.2">
      <c r="A852" s="57"/>
    </row>
    <row r="853" spans="1:1" x14ac:dyDescent="0.2">
      <c r="A853" s="57"/>
    </row>
    <row r="854" spans="1:1" x14ac:dyDescent="0.2">
      <c r="A854" s="57"/>
    </row>
    <row r="855" spans="1:1" x14ac:dyDescent="0.2">
      <c r="A855" s="57"/>
    </row>
    <row r="856" spans="1:1" x14ac:dyDescent="0.2">
      <c r="A856" s="57"/>
    </row>
    <row r="857" spans="1:1" x14ac:dyDescent="0.2">
      <c r="A857" s="57"/>
    </row>
    <row r="858" spans="1:1" x14ac:dyDescent="0.2">
      <c r="A858" s="57"/>
    </row>
    <row r="859" spans="1:1" x14ac:dyDescent="0.2">
      <c r="A859" s="57"/>
    </row>
    <row r="860" spans="1:1" x14ac:dyDescent="0.2">
      <c r="A860" s="57"/>
    </row>
    <row r="861" spans="1:1" x14ac:dyDescent="0.2">
      <c r="A861" s="57"/>
    </row>
    <row r="862" spans="1:1" x14ac:dyDescent="0.2">
      <c r="A862" s="57"/>
    </row>
    <row r="863" spans="1:1" x14ac:dyDescent="0.2">
      <c r="A863" s="57"/>
    </row>
    <row r="864" spans="1:1" x14ac:dyDescent="0.2">
      <c r="A864" s="57"/>
    </row>
    <row r="865" spans="1:1" x14ac:dyDescent="0.2">
      <c r="A865" s="57"/>
    </row>
    <row r="866" spans="1:1" x14ac:dyDescent="0.2">
      <c r="A866" s="57"/>
    </row>
    <row r="867" spans="1:1" x14ac:dyDescent="0.2">
      <c r="A867" s="57"/>
    </row>
    <row r="868" spans="1:1" x14ac:dyDescent="0.2">
      <c r="A868" s="57"/>
    </row>
    <row r="869" spans="1:1" x14ac:dyDescent="0.2">
      <c r="A869" s="57"/>
    </row>
    <row r="870" spans="1:1" x14ac:dyDescent="0.2">
      <c r="A870" s="57"/>
    </row>
    <row r="871" spans="1:1" x14ac:dyDescent="0.2">
      <c r="A871" s="57"/>
    </row>
    <row r="872" spans="1:1" x14ac:dyDescent="0.2">
      <c r="A872" s="57"/>
    </row>
    <row r="873" spans="1:1" x14ac:dyDescent="0.2">
      <c r="A873" s="57"/>
    </row>
    <row r="874" spans="1:1" x14ac:dyDescent="0.2">
      <c r="A874" s="57"/>
    </row>
    <row r="875" spans="1:1" x14ac:dyDescent="0.2">
      <c r="A875" s="57"/>
    </row>
    <row r="876" spans="1:1" x14ac:dyDescent="0.2">
      <c r="A876" s="57"/>
    </row>
    <row r="877" spans="1:1" x14ac:dyDescent="0.2">
      <c r="A877" s="57"/>
    </row>
    <row r="878" spans="1:1" x14ac:dyDescent="0.2">
      <c r="A878" s="57"/>
    </row>
    <row r="879" spans="1:1" x14ac:dyDescent="0.2">
      <c r="A879" s="57"/>
    </row>
    <row r="880" spans="1:1" x14ac:dyDescent="0.2">
      <c r="A880" s="57"/>
    </row>
    <row r="881" spans="1:1" x14ac:dyDescent="0.2">
      <c r="A881" s="57"/>
    </row>
    <row r="882" spans="1:1" x14ac:dyDescent="0.2">
      <c r="A882" s="57"/>
    </row>
    <row r="883" spans="1:1" x14ac:dyDescent="0.2">
      <c r="A883" s="57"/>
    </row>
    <row r="884" spans="1:1" x14ac:dyDescent="0.2">
      <c r="A884" s="57"/>
    </row>
    <row r="885" spans="1:1" x14ac:dyDescent="0.2">
      <c r="A885" s="57"/>
    </row>
    <row r="886" spans="1:1" x14ac:dyDescent="0.2">
      <c r="A886" s="57"/>
    </row>
    <row r="887" spans="1:1" x14ac:dyDescent="0.2">
      <c r="A887" s="57"/>
    </row>
    <row r="888" spans="1:1" x14ac:dyDescent="0.2">
      <c r="A888" s="57"/>
    </row>
    <row r="889" spans="1:1" x14ac:dyDescent="0.2">
      <c r="A889" s="57"/>
    </row>
    <row r="890" spans="1:1" x14ac:dyDescent="0.2">
      <c r="A890" s="57"/>
    </row>
    <row r="891" spans="1:1" x14ac:dyDescent="0.2">
      <c r="A891" s="57"/>
    </row>
    <row r="892" spans="1:1" x14ac:dyDescent="0.2">
      <c r="A892" s="57"/>
    </row>
    <row r="893" spans="1:1" x14ac:dyDescent="0.2">
      <c r="A893" s="57"/>
    </row>
    <row r="894" spans="1:1" x14ac:dyDescent="0.2">
      <c r="A894" s="57"/>
    </row>
    <row r="895" spans="1:1" x14ac:dyDescent="0.2">
      <c r="A895" s="57"/>
    </row>
    <row r="896" spans="1:1" x14ac:dyDescent="0.2">
      <c r="A896" s="57"/>
    </row>
    <row r="897" spans="1:1" x14ac:dyDescent="0.2">
      <c r="A897" s="57"/>
    </row>
    <row r="898" spans="1:1" x14ac:dyDescent="0.2">
      <c r="A898" s="57"/>
    </row>
    <row r="899" spans="1:1" x14ac:dyDescent="0.2">
      <c r="A899" s="57"/>
    </row>
    <row r="900" spans="1:1" x14ac:dyDescent="0.2">
      <c r="A900" s="57"/>
    </row>
    <row r="901" spans="1:1" x14ac:dyDescent="0.2">
      <c r="A901" s="57"/>
    </row>
    <row r="902" spans="1:1" x14ac:dyDescent="0.2">
      <c r="A902" s="57"/>
    </row>
    <row r="903" spans="1:1" x14ac:dyDescent="0.2">
      <c r="A903" s="57"/>
    </row>
    <row r="904" spans="1:1" x14ac:dyDescent="0.2">
      <c r="A904" s="57"/>
    </row>
    <row r="905" spans="1:1" x14ac:dyDescent="0.2">
      <c r="A905" s="57"/>
    </row>
    <row r="906" spans="1:1" x14ac:dyDescent="0.2">
      <c r="A906" s="57"/>
    </row>
    <row r="907" spans="1:1" x14ac:dyDescent="0.2">
      <c r="A907" s="57"/>
    </row>
    <row r="908" spans="1:1" x14ac:dyDescent="0.2">
      <c r="A908" s="57"/>
    </row>
    <row r="909" spans="1:1" x14ac:dyDescent="0.2">
      <c r="A909" s="57"/>
    </row>
    <row r="910" spans="1:1" x14ac:dyDescent="0.2">
      <c r="A910" s="57"/>
    </row>
    <row r="911" spans="1:1" x14ac:dyDescent="0.2">
      <c r="A911" s="57"/>
    </row>
    <row r="912" spans="1:1" x14ac:dyDescent="0.2">
      <c r="A912" s="57"/>
    </row>
    <row r="913" spans="1:1" x14ac:dyDescent="0.2">
      <c r="A913" s="57"/>
    </row>
    <row r="914" spans="1:1" x14ac:dyDescent="0.2">
      <c r="A914" s="57"/>
    </row>
    <row r="915" spans="1:1" x14ac:dyDescent="0.2">
      <c r="A915" s="57"/>
    </row>
    <row r="916" spans="1:1" x14ac:dyDescent="0.2">
      <c r="A916" s="57"/>
    </row>
    <row r="917" spans="1:1" x14ac:dyDescent="0.2">
      <c r="A917" s="57"/>
    </row>
    <row r="918" spans="1:1" x14ac:dyDescent="0.2">
      <c r="A918" s="57"/>
    </row>
    <row r="919" spans="1:1" x14ac:dyDescent="0.2">
      <c r="A919" s="57"/>
    </row>
    <row r="920" spans="1:1" x14ac:dyDescent="0.2">
      <c r="A920" s="57"/>
    </row>
    <row r="921" spans="1:1" x14ac:dyDescent="0.2">
      <c r="A921" s="57"/>
    </row>
    <row r="922" spans="1:1" x14ac:dyDescent="0.2">
      <c r="A922" s="57"/>
    </row>
    <row r="923" spans="1:1" x14ac:dyDescent="0.2">
      <c r="A923" s="57"/>
    </row>
    <row r="924" spans="1:1" x14ac:dyDescent="0.2">
      <c r="A924" s="57"/>
    </row>
    <row r="925" spans="1:1" x14ac:dyDescent="0.2">
      <c r="A925" s="57"/>
    </row>
    <row r="926" spans="1:1" x14ac:dyDescent="0.2">
      <c r="A926" s="57"/>
    </row>
    <row r="927" spans="1:1" x14ac:dyDescent="0.2">
      <c r="A927" s="57"/>
    </row>
    <row r="928" spans="1:1" x14ac:dyDescent="0.2">
      <c r="A928" s="57"/>
    </row>
    <row r="929" spans="1:1" x14ac:dyDescent="0.2">
      <c r="A929" s="57"/>
    </row>
    <row r="930" spans="1:1" x14ac:dyDescent="0.2">
      <c r="A930" s="57"/>
    </row>
    <row r="931" spans="1:1" x14ac:dyDescent="0.2">
      <c r="A931" s="57"/>
    </row>
    <row r="932" spans="1:1" x14ac:dyDescent="0.2">
      <c r="A932" s="57"/>
    </row>
    <row r="933" spans="1:1" x14ac:dyDescent="0.2">
      <c r="A933" s="57"/>
    </row>
    <row r="934" spans="1:1" x14ac:dyDescent="0.2">
      <c r="A934" s="57"/>
    </row>
    <row r="935" spans="1:1" x14ac:dyDescent="0.2">
      <c r="A935" s="57"/>
    </row>
    <row r="936" spans="1:1" x14ac:dyDescent="0.2">
      <c r="A936" s="57"/>
    </row>
    <row r="937" spans="1:1" x14ac:dyDescent="0.2">
      <c r="A937" s="57"/>
    </row>
    <row r="938" spans="1:1" x14ac:dyDescent="0.2">
      <c r="A938" s="57"/>
    </row>
    <row r="939" spans="1:1" x14ac:dyDescent="0.2">
      <c r="A939" s="57"/>
    </row>
    <row r="940" spans="1:1" x14ac:dyDescent="0.2">
      <c r="A940" s="57"/>
    </row>
    <row r="941" spans="1:1" x14ac:dyDescent="0.2">
      <c r="A941" s="57"/>
    </row>
    <row r="942" spans="1:1" x14ac:dyDescent="0.2">
      <c r="A942" s="57"/>
    </row>
    <row r="943" spans="1:1" x14ac:dyDescent="0.2">
      <c r="A943" s="57"/>
    </row>
    <row r="944" spans="1:1" x14ac:dyDescent="0.2">
      <c r="A944" s="57"/>
    </row>
    <row r="945" spans="1:1" x14ac:dyDescent="0.2">
      <c r="A945" s="57"/>
    </row>
    <row r="946" spans="1:1" x14ac:dyDescent="0.2">
      <c r="A946" s="57"/>
    </row>
    <row r="947" spans="1:1" x14ac:dyDescent="0.2">
      <c r="A947" s="57"/>
    </row>
    <row r="948" spans="1:1" x14ac:dyDescent="0.2">
      <c r="A948" s="57"/>
    </row>
    <row r="949" spans="1:1" x14ac:dyDescent="0.2">
      <c r="A949" s="57"/>
    </row>
    <row r="950" spans="1:1" x14ac:dyDescent="0.2">
      <c r="A950" s="57"/>
    </row>
    <row r="951" spans="1:1" x14ac:dyDescent="0.2">
      <c r="A951" s="57"/>
    </row>
    <row r="952" spans="1:1" x14ac:dyDescent="0.2">
      <c r="A952" s="57"/>
    </row>
    <row r="953" spans="1:1" x14ac:dyDescent="0.2">
      <c r="A953" s="57"/>
    </row>
    <row r="954" spans="1:1" x14ac:dyDescent="0.2">
      <c r="A954" s="57"/>
    </row>
    <row r="955" spans="1:1" x14ac:dyDescent="0.2">
      <c r="A955" s="57"/>
    </row>
    <row r="956" spans="1:1" x14ac:dyDescent="0.2">
      <c r="A956" s="57"/>
    </row>
    <row r="957" spans="1:1" x14ac:dyDescent="0.2">
      <c r="A957" s="57"/>
    </row>
    <row r="958" spans="1:1" x14ac:dyDescent="0.2">
      <c r="A958" s="57"/>
    </row>
    <row r="959" spans="1:1" x14ac:dyDescent="0.2">
      <c r="A959" s="57"/>
    </row>
    <row r="960" spans="1:1" x14ac:dyDescent="0.2">
      <c r="A960" s="57"/>
    </row>
    <row r="961" spans="1:1" x14ac:dyDescent="0.2">
      <c r="A961" s="57"/>
    </row>
    <row r="962" spans="1:1" x14ac:dyDescent="0.2">
      <c r="A962" s="57"/>
    </row>
    <row r="963" spans="1:1" x14ac:dyDescent="0.2">
      <c r="A963" s="57"/>
    </row>
    <row r="964" spans="1:1" x14ac:dyDescent="0.2">
      <c r="A964" s="57"/>
    </row>
    <row r="965" spans="1:1" x14ac:dyDescent="0.2">
      <c r="A965" s="57"/>
    </row>
    <row r="966" spans="1:1" x14ac:dyDescent="0.2">
      <c r="A966" s="57"/>
    </row>
    <row r="967" spans="1:1" x14ac:dyDescent="0.2">
      <c r="A967" s="57"/>
    </row>
    <row r="968" spans="1:1" x14ac:dyDescent="0.2">
      <c r="A968" s="57"/>
    </row>
    <row r="969" spans="1:1" x14ac:dyDescent="0.2">
      <c r="A969" s="57"/>
    </row>
    <row r="970" spans="1:1" x14ac:dyDescent="0.2">
      <c r="A970" s="57"/>
    </row>
    <row r="971" spans="1:1" x14ac:dyDescent="0.2">
      <c r="A971" s="57"/>
    </row>
    <row r="972" spans="1:1" x14ac:dyDescent="0.2">
      <c r="A972" s="57"/>
    </row>
    <row r="973" spans="1:1" x14ac:dyDescent="0.2">
      <c r="A973" s="57"/>
    </row>
    <row r="974" spans="1:1" x14ac:dyDescent="0.2">
      <c r="A974" s="57"/>
    </row>
    <row r="975" spans="1:1" x14ac:dyDescent="0.2">
      <c r="A975" s="57"/>
    </row>
    <row r="976" spans="1:1" x14ac:dyDescent="0.2">
      <c r="A976" s="57"/>
    </row>
    <row r="977" spans="1:1" x14ac:dyDescent="0.2">
      <c r="A977" s="57"/>
    </row>
    <row r="978" spans="1:1" x14ac:dyDescent="0.2">
      <c r="A978" s="57"/>
    </row>
    <row r="979" spans="1:1" x14ac:dyDescent="0.2">
      <c r="A979" s="57"/>
    </row>
    <row r="980" spans="1:1" x14ac:dyDescent="0.2">
      <c r="A980" s="57"/>
    </row>
    <row r="981" spans="1:1" x14ac:dyDescent="0.2">
      <c r="A981" s="57"/>
    </row>
    <row r="982" spans="1:1" x14ac:dyDescent="0.2">
      <c r="A982" s="57"/>
    </row>
    <row r="983" spans="1:1" x14ac:dyDescent="0.2">
      <c r="A983" s="57"/>
    </row>
    <row r="984" spans="1:1" x14ac:dyDescent="0.2">
      <c r="A984" s="57"/>
    </row>
    <row r="985" spans="1:1" x14ac:dyDescent="0.2">
      <c r="A985" s="57"/>
    </row>
    <row r="986" spans="1:1" x14ac:dyDescent="0.2">
      <c r="A986" s="57"/>
    </row>
    <row r="987" spans="1:1" x14ac:dyDescent="0.2">
      <c r="A987" s="57"/>
    </row>
    <row r="988" spans="1:1" x14ac:dyDescent="0.2">
      <c r="A988" s="57"/>
    </row>
    <row r="989" spans="1:1" x14ac:dyDescent="0.2">
      <c r="A989" s="57"/>
    </row>
    <row r="990" spans="1:1" x14ac:dyDescent="0.2">
      <c r="A990" s="57"/>
    </row>
    <row r="991" spans="1:1" x14ac:dyDescent="0.2">
      <c r="A991" s="57"/>
    </row>
    <row r="992" spans="1:1" x14ac:dyDescent="0.2">
      <c r="A992" s="57"/>
    </row>
    <row r="993" spans="1:1" x14ac:dyDescent="0.2">
      <c r="A993" s="57"/>
    </row>
    <row r="994" spans="1:1" x14ac:dyDescent="0.2">
      <c r="A994" s="57"/>
    </row>
    <row r="995" spans="1:1" x14ac:dyDescent="0.2">
      <c r="A995" s="57"/>
    </row>
    <row r="996" spans="1:1" x14ac:dyDescent="0.2">
      <c r="A996" s="57"/>
    </row>
    <row r="997" spans="1:1" x14ac:dyDescent="0.2">
      <c r="A997" s="57"/>
    </row>
    <row r="998" spans="1:1" x14ac:dyDescent="0.2">
      <c r="A998" s="57"/>
    </row>
    <row r="999" spans="1:1" x14ac:dyDescent="0.2">
      <c r="A999" s="57"/>
    </row>
    <row r="1000" spans="1:1" x14ac:dyDescent="0.2">
      <c r="A1000" s="57"/>
    </row>
    <row r="1001" spans="1:1" x14ac:dyDescent="0.2">
      <c r="A1001" s="57"/>
    </row>
    <row r="1002" spans="1:1" x14ac:dyDescent="0.2">
      <c r="A1002" s="57"/>
    </row>
    <row r="1003" spans="1:1" x14ac:dyDescent="0.2">
      <c r="A1003" s="57"/>
    </row>
    <row r="1004" spans="1:1" x14ac:dyDescent="0.2">
      <c r="A1004" s="57"/>
    </row>
    <row r="1005" spans="1:1" x14ac:dyDescent="0.2">
      <c r="A1005" s="57"/>
    </row>
    <row r="1006" spans="1:1" x14ac:dyDescent="0.2">
      <c r="A1006" s="57"/>
    </row>
    <row r="1007" spans="1:1" x14ac:dyDescent="0.2">
      <c r="A1007" s="57"/>
    </row>
    <row r="1008" spans="1:1" x14ac:dyDescent="0.2">
      <c r="A1008" s="57"/>
    </row>
    <row r="1009" spans="1:1" x14ac:dyDescent="0.2">
      <c r="A1009" s="57"/>
    </row>
    <row r="1010" spans="1:1" x14ac:dyDescent="0.2">
      <c r="A1010" s="57"/>
    </row>
    <row r="1011" spans="1:1" x14ac:dyDescent="0.2">
      <c r="A1011" s="57"/>
    </row>
    <row r="1012" spans="1:1" x14ac:dyDescent="0.2">
      <c r="A1012" s="57"/>
    </row>
    <row r="1013" spans="1:1" x14ac:dyDescent="0.2">
      <c r="A1013" s="57"/>
    </row>
    <row r="1014" spans="1:1" x14ac:dyDescent="0.2">
      <c r="A1014" s="57"/>
    </row>
    <row r="1015" spans="1:1" x14ac:dyDescent="0.2">
      <c r="A1015" s="57"/>
    </row>
    <row r="1016" spans="1:1" x14ac:dyDescent="0.2">
      <c r="A1016" s="57"/>
    </row>
    <row r="1017" spans="1:1" x14ac:dyDescent="0.2">
      <c r="A1017" s="57"/>
    </row>
    <row r="1018" spans="1:1" x14ac:dyDescent="0.2">
      <c r="A1018" s="57"/>
    </row>
    <row r="1019" spans="1:1" x14ac:dyDescent="0.2">
      <c r="A1019" s="57"/>
    </row>
    <row r="1020" spans="1:1" x14ac:dyDescent="0.2">
      <c r="A1020" s="57"/>
    </row>
  </sheetData>
  <mergeCells count="1">
    <mergeCell ref="T6:U6"/>
  </mergeCells>
  <conditionalFormatting sqref="G11:I40">
    <cfRule type="expression" dxfId="4" priority="1">
      <formula>ISERROR($G11)</formula>
    </cfRule>
  </conditionalFormatting>
  <dataValidations count="1">
    <dataValidation type="list" allowBlank="1" showInputMessage="1" showErrorMessage="1" sqref="K14">
      <formula1>$K$5:$K$11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20"/>
  <sheetViews>
    <sheetView zoomScale="90" zoomScaleNormal="90" workbookViewId="0">
      <selection activeCell="B15" sqref="B15"/>
    </sheetView>
  </sheetViews>
  <sheetFormatPr defaultColWidth="11.42578125" defaultRowHeight="12.75" x14ac:dyDescent="0.2"/>
  <cols>
    <col min="1" max="2" width="16.140625" style="3" customWidth="1"/>
    <col min="3" max="3" width="17.5703125" style="3" customWidth="1"/>
    <col min="4" max="5" width="5.7109375" style="1" customWidth="1"/>
    <col min="6" max="6" width="7.5703125" style="3" bestFit="1" customWidth="1"/>
    <col min="7" max="7" width="18.42578125" style="1" customWidth="1"/>
    <col min="8" max="10" width="11.42578125" style="1"/>
    <col min="11" max="11" width="5.85546875" style="1" customWidth="1"/>
    <col min="12" max="12" width="17.85546875" style="1" bestFit="1" customWidth="1"/>
    <col min="13" max="14" width="14.140625" style="1" bestFit="1" customWidth="1"/>
    <col min="15" max="18" width="11.42578125" style="1"/>
    <col min="19" max="19" width="5.5703125" style="1" customWidth="1"/>
    <col min="20" max="20" width="5.140625" style="1" customWidth="1"/>
    <col min="21" max="21" width="15.42578125" style="37" customWidth="1"/>
    <col min="22" max="22" width="13.140625" style="1" bestFit="1" customWidth="1"/>
    <col min="23" max="16384" width="11.42578125" style="1"/>
  </cols>
  <sheetData>
    <row r="2" spans="1:22" ht="33" customHeight="1" x14ac:dyDescent="0.2">
      <c r="A2" s="56" t="s">
        <v>39</v>
      </c>
      <c r="B2" s="58" t="s">
        <v>97</v>
      </c>
      <c r="C2" s="58" t="s">
        <v>98</v>
      </c>
      <c r="E2" s="55" t="str">
        <f>"Fréquence des "&amp;tblDataTotal[[#Headers],[Taux de rentabilité TOTAL]]</f>
        <v>Fréquence des Taux de rentabilité TOTAL</v>
      </c>
      <c r="G2" s="26" t="s">
        <v>26</v>
      </c>
      <c r="H2" s="31">
        <f>V18</f>
        <v>-9.6611409516942998E-2</v>
      </c>
      <c r="L2" s="34" t="s">
        <v>10</v>
      </c>
      <c r="M2" s="35">
        <f>COUNT(tblDataTotal[Taux de rentabilité TOTAL])</f>
        <v>51</v>
      </c>
      <c r="O2" s="36"/>
    </row>
    <row r="3" spans="1:22" x14ac:dyDescent="0.2">
      <c r="A3" s="57">
        <v>41974</v>
      </c>
      <c r="B3" s="20">
        <v>55.48</v>
      </c>
      <c r="C3" s="20"/>
      <c r="G3" s="26" t="s">
        <v>27</v>
      </c>
      <c r="H3" s="31">
        <f>V13</f>
        <v>8.8983070148663773E-2</v>
      </c>
      <c r="I3" s="25"/>
      <c r="J3" s="25"/>
      <c r="M3" s="3"/>
    </row>
    <row r="4" spans="1:22" x14ac:dyDescent="0.2">
      <c r="A4" s="57">
        <v>41981</v>
      </c>
      <c r="B4" s="20">
        <v>50.119999</v>
      </c>
      <c r="C4" s="61">
        <f>(tblDataTotal[[#This Row],[Côte]]-B3)/B3</f>
        <v>-9.6611409516942998E-2</v>
      </c>
      <c r="G4" s="19" t="s">
        <v>23</v>
      </c>
      <c r="H4" s="18">
        <f>H3-H2</f>
        <v>0.18559447966560677</v>
      </c>
      <c r="I4" s="25"/>
      <c r="J4" s="25"/>
      <c r="L4" s="39" t="s">
        <v>13</v>
      </c>
      <c r="M4" s="40" t="s">
        <v>12</v>
      </c>
    </row>
    <row r="5" spans="1:22" x14ac:dyDescent="0.2">
      <c r="A5" s="57">
        <v>41988</v>
      </c>
      <c r="B5" s="20">
        <v>53.330002</v>
      </c>
      <c r="C5" s="61">
        <f>(tblDataTotal[[#This Row],[Côte]]-B4)/B4</f>
        <v>6.4046350040829023E-2</v>
      </c>
      <c r="G5" s="19" t="s">
        <v>24</v>
      </c>
      <c r="H5" s="18">
        <f>H4/M14</f>
        <v>2.6513497095086682E-2</v>
      </c>
      <c r="I5" s="25"/>
      <c r="J5" s="25"/>
      <c r="L5" s="41" t="s">
        <v>14</v>
      </c>
      <c r="M5" s="42">
        <f>INT(SQRT(M2)+1)</f>
        <v>8</v>
      </c>
    </row>
    <row r="6" spans="1:22" x14ac:dyDescent="0.2">
      <c r="A6" s="57">
        <v>41995</v>
      </c>
      <c r="B6" s="20">
        <v>53.150002000000001</v>
      </c>
      <c r="C6" s="61">
        <f>(tblDataTotal[[#This Row],[Côte]]-B5)/B5</f>
        <v>-3.3752108241060954E-3</v>
      </c>
      <c r="G6" s="27" t="s">
        <v>38</v>
      </c>
      <c r="H6" s="35">
        <f>COUNTIFS(tblDataTotal[Taux de rentabilité TOTAL],"&lt;="&amp;H3,tblDataTotal[Taux de rentabilité TOTAL],"&gt;="&amp;H2)</f>
        <v>51</v>
      </c>
      <c r="I6" s="25"/>
      <c r="J6" s="25"/>
      <c r="L6" s="43" t="s">
        <v>11</v>
      </c>
      <c r="M6" s="44">
        <f>INT(1 + LOG(M2,2))</f>
        <v>6</v>
      </c>
      <c r="U6" s="45" t="s">
        <v>31</v>
      </c>
      <c r="V6" s="45"/>
    </row>
    <row r="7" spans="1:22" x14ac:dyDescent="0.2">
      <c r="A7" s="57">
        <v>42002</v>
      </c>
      <c r="B7" s="20">
        <v>51.16</v>
      </c>
      <c r="C7" s="61">
        <f>(tblDataTotal[[#This Row],[Côte]]-B6)/B6</f>
        <v>-3.7441240359689994E-2</v>
      </c>
      <c r="G7" s="65" t="s">
        <v>41</v>
      </c>
      <c r="H7" s="62">
        <f>_xlfn.STDEV.S(tblDataTotal[Taux de rentabilité TOTAL])</f>
        <v>3.9355492750163125E-2</v>
      </c>
      <c r="L7" s="43" t="s">
        <v>15</v>
      </c>
      <c r="M7" s="44">
        <f>INT(2*M2^(1/3))</f>
        <v>7</v>
      </c>
      <c r="N7" s="3"/>
    </row>
    <row r="8" spans="1:22" x14ac:dyDescent="0.2">
      <c r="A8" s="57">
        <v>42009</v>
      </c>
      <c r="B8" s="20">
        <v>48.639999000000003</v>
      </c>
      <c r="C8" s="61">
        <f>(tblDataTotal[[#This Row],[Côte]]-B7)/B7</f>
        <v>-4.9257251759186743E-2</v>
      </c>
      <c r="G8" s="65" t="s">
        <v>96</v>
      </c>
      <c r="H8" s="62">
        <f>AVERAGE(tblDataTotal[Taux de rentabilité TOTAL])</f>
        <v>-1.5789642567486013E-3</v>
      </c>
      <c r="L8" s="43" t="s">
        <v>16</v>
      </c>
      <c r="M8" s="44">
        <f>INT(1+LOG(M2,2)+LOG(1+P8/R8,2))</f>
        <v>6</v>
      </c>
      <c r="N8" s="46" t="s">
        <v>25</v>
      </c>
      <c r="O8" s="47" t="s">
        <v>19</v>
      </c>
      <c r="P8" s="48">
        <f>ABS(SKEW(tblDataTotal[Taux de rentabilité TOTAL]))</f>
        <v>2.4656880620572796E-3</v>
      </c>
      <c r="Q8" s="47" t="s">
        <v>18</v>
      </c>
      <c r="R8" s="48">
        <f>SQRT((6*(M2-2))/((M2+1)*(M2+3)))</f>
        <v>0.32357511446471698</v>
      </c>
      <c r="U8" s="37" t="s">
        <v>30</v>
      </c>
      <c r="V8" s="1">
        <f>COUNT(tblDataTotal[Taux de rentabilité TOTAL])</f>
        <v>51</v>
      </c>
    </row>
    <row r="9" spans="1:22" x14ac:dyDescent="0.2">
      <c r="A9" s="57">
        <v>42016</v>
      </c>
      <c r="B9" s="20">
        <v>50.91</v>
      </c>
      <c r="C9" s="61">
        <f>(tblDataTotal[[#This Row],[Côte]]-B8)/B8</f>
        <v>4.6669429413433855E-2</v>
      </c>
      <c r="L9" s="43" t="s">
        <v>17</v>
      </c>
      <c r="M9" s="44">
        <f>INT(3.5*_xlfn.STDEV.S(tblDataTotal[Taux de rentabilité TOTAL])/(M2^(1/3)))</f>
        <v>0</v>
      </c>
      <c r="N9" s="3"/>
      <c r="U9" s="37" t="s">
        <v>3</v>
      </c>
      <c r="V9" s="15">
        <f>V15-V17</f>
        <v>5.4421248133659436E-2</v>
      </c>
    </row>
    <row r="10" spans="1:22" x14ac:dyDescent="0.2">
      <c r="A10" s="57">
        <v>42024</v>
      </c>
      <c r="B10" s="20">
        <v>51.209999000000003</v>
      </c>
      <c r="C10" s="61">
        <f>(tblDataTotal[[#This Row],[Côte]]-B9)/B9</f>
        <v>5.8927322726381225E-3</v>
      </c>
      <c r="F10" s="21" t="s">
        <v>8</v>
      </c>
      <c r="G10" s="22" t="s">
        <v>9</v>
      </c>
      <c r="H10" s="22" t="s">
        <v>35</v>
      </c>
      <c r="I10" s="22" t="s">
        <v>36</v>
      </c>
      <c r="J10" s="12" t="s">
        <v>37</v>
      </c>
      <c r="L10" s="49" t="s">
        <v>21</v>
      </c>
      <c r="M10" s="44">
        <f>INT(2*P10/(M2^(1/3)))</f>
        <v>0</v>
      </c>
      <c r="N10" s="46" t="s">
        <v>25</v>
      </c>
      <c r="O10" s="47" t="s">
        <v>20</v>
      </c>
      <c r="P10" s="48">
        <f>_xlfn.QUARTILE.INC(tblDataTotal[Taux de rentabilité TOTAL],3) - _xlfn.QUARTILE.INC(tblDataTotal[Taux de rentabilité TOTAL],1)</f>
        <v>5.4421248133659436E-2</v>
      </c>
      <c r="U10" s="37" t="s">
        <v>6</v>
      </c>
      <c r="V10" s="50">
        <v>1.5</v>
      </c>
    </row>
    <row r="11" spans="1:22" x14ac:dyDescent="0.2">
      <c r="A11" s="57">
        <v>42030</v>
      </c>
      <c r="B11" s="20">
        <v>51.509998000000003</v>
      </c>
      <c r="C11" s="61">
        <f>(tblDataTotal[[#This Row],[Côte]]-B10)/B10</f>
        <v>5.8582114012538777E-3</v>
      </c>
      <c r="F11" s="8">
        <v>1</v>
      </c>
      <c r="G11" s="59">
        <f>H2</f>
        <v>-9.6611409516942998E-2</v>
      </c>
      <c r="H11" s="9">
        <f t="array" ref="H11:H40">FREQUENCY(tblDataTotal[Taux de rentabilité TOTAL],G11:G40)</f>
        <v>1</v>
      </c>
      <c r="I11" s="13">
        <f>IF(F11&lt;&gt;"",H11/$H$6,"")</f>
        <v>1.9607843137254902E-2</v>
      </c>
      <c r="J11" s="28">
        <f>I11</f>
        <v>1.9607843137254902E-2</v>
      </c>
      <c r="L11" s="51" t="s">
        <v>34</v>
      </c>
      <c r="M11" s="52">
        <v>15</v>
      </c>
    </row>
    <row r="12" spans="1:22" x14ac:dyDescent="0.2">
      <c r="A12" s="57">
        <v>42037</v>
      </c>
      <c r="B12" s="20">
        <v>53.669998</v>
      </c>
      <c r="C12" s="61">
        <f>(tblDataTotal[[#This Row],[Côte]]-B11)/B11</f>
        <v>4.1933606753391771E-2</v>
      </c>
      <c r="F12" s="8">
        <f>IFERROR(IF(F11-2&lt;$M$14,F11+1,""),"")</f>
        <v>2</v>
      </c>
      <c r="G12" s="59">
        <f>IFERROR(IF(G11+$H$5&gt;$H$3+$H$5,"",G11+$H$5),"")</f>
        <v>-7.0097912421856312E-2</v>
      </c>
      <c r="H12" s="9">
        <v>1</v>
      </c>
      <c r="I12" s="13">
        <f>IF(F12&lt;&gt;"",H12/$H$6,"")</f>
        <v>1.9607843137254902E-2</v>
      </c>
      <c r="J12" s="28">
        <f>IF(I12&lt;&gt;"",I12+J11,"")</f>
        <v>3.9215686274509803E-2</v>
      </c>
      <c r="U12" s="4" t="s">
        <v>29</v>
      </c>
      <c r="V12" s="16">
        <f>COUNTIF(tblDataTotal[Taux de rentabilité TOTAL],"&gt;"&amp;V13)</f>
        <v>0</v>
      </c>
    </row>
    <row r="13" spans="1:22" x14ac:dyDescent="0.2">
      <c r="A13" s="57">
        <v>42044</v>
      </c>
      <c r="B13" s="20">
        <v>54.139999000000003</v>
      </c>
      <c r="C13" s="61">
        <f>(tblDataTotal[[#This Row],[Côte]]-B12)/B12</f>
        <v>8.757239007163806E-3</v>
      </c>
      <c r="F13" s="8">
        <f t="shared" ref="F13:F40" si="0">IFERROR(IF(F12-2&lt;$M$14,F12+1,""),"")</f>
        <v>3</v>
      </c>
      <c r="G13" s="59">
        <f>IFERROR(IF(G12+$H$5&gt;$H$3+$H$5,"",G12+$H$5),"")</f>
        <v>-4.3584415326769627E-2</v>
      </c>
      <c r="H13" s="9">
        <v>4</v>
      </c>
      <c r="I13" s="13">
        <f>IF(F13&lt;&gt;"",H13/$H$6,"")</f>
        <v>7.8431372549019607E-2</v>
      </c>
      <c r="J13" s="28">
        <f>IF(I13&lt;&gt;"",I13+J12,"")</f>
        <v>0.11764705882352941</v>
      </c>
      <c r="L13" s="34" t="s">
        <v>22</v>
      </c>
      <c r="M13" s="12" t="s">
        <v>12</v>
      </c>
      <c r="U13" s="4" t="s">
        <v>27</v>
      </c>
      <c r="V13" s="17">
        <f>V14</f>
        <v>8.8983070148663773E-2</v>
      </c>
    </row>
    <row r="14" spans="1:22" x14ac:dyDescent="0.2">
      <c r="A14" s="57">
        <v>42052</v>
      </c>
      <c r="B14" s="20">
        <v>52.880001</v>
      </c>
      <c r="C14" s="61">
        <f>(tblDataTotal[[#This Row],[Côte]]-B13)/B13</f>
        <v>-2.3272959425063952E-2</v>
      </c>
      <c r="F14" s="8">
        <f t="shared" si="0"/>
        <v>4</v>
      </c>
      <c r="G14" s="59">
        <f>IFERROR(IF(G13+$H$5&gt;$H$3+$H$5,"",G13+$H$5),"")</f>
        <v>-1.7070918231682945E-2</v>
      </c>
      <c r="H14" s="9">
        <v>11</v>
      </c>
      <c r="I14" s="13">
        <f>IF(F14&lt;&gt;"",H14/$H$6,"")</f>
        <v>0.21568627450980393</v>
      </c>
      <c r="J14" s="28">
        <f>IF(I14&lt;&gt;"",I14+J13,"")</f>
        <v>0.33333333333333337</v>
      </c>
      <c r="L14" s="50" t="s">
        <v>15</v>
      </c>
      <c r="M14" s="53">
        <f>VLOOKUP($L$14,$L$5:$M$11,2,FALSE)</f>
        <v>7</v>
      </c>
      <c r="U14" s="4" t="s">
        <v>1</v>
      </c>
      <c r="V14" s="17">
        <f>MAX(tblDataTotal[Taux de rentabilité TOTAL])</f>
        <v>8.8983070148663773E-2</v>
      </c>
    </row>
    <row r="15" spans="1:22" x14ac:dyDescent="0.2">
      <c r="A15" s="57">
        <v>42058</v>
      </c>
      <c r="B15" s="20">
        <v>53.630001</v>
      </c>
      <c r="C15" s="61">
        <f>(tblDataTotal[[#This Row],[Côte]]-B14)/B14</f>
        <v>1.4183055707582154E-2</v>
      </c>
      <c r="F15" s="8">
        <f t="shared" si="0"/>
        <v>5</v>
      </c>
      <c r="G15" s="59">
        <f>IFERROR(IF(G14+$H$5&gt;$H$3+$H$5,"",G14+$H$5),"")</f>
        <v>9.4425788634037375E-3</v>
      </c>
      <c r="H15" s="9">
        <v>15</v>
      </c>
      <c r="I15" s="13">
        <f>IF(F15&lt;&gt;"",H15/$H$6,"")</f>
        <v>0.29411764705882354</v>
      </c>
      <c r="J15" s="28">
        <f t="shared" ref="J15:J40" si="1">IF(I15&lt;&gt;"",I15+J14,"")</f>
        <v>0.62745098039215685</v>
      </c>
      <c r="U15" s="4" t="s">
        <v>2</v>
      </c>
      <c r="V15" s="17">
        <f>_xlfn.QUARTILE.INC(tblDataTotal[Taux de rentabilité TOTAL],3)</f>
        <v>2.4136156598366952E-2</v>
      </c>
    </row>
    <row r="16" spans="1:22" x14ac:dyDescent="0.2">
      <c r="A16" s="57">
        <v>42065</v>
      </c>
      <c r="B16" s="20">
        <v>50.77</v>
      </c>
      <c r="C16" s="61">
        <f>(tblDataTotal[[#This Row],[Côte]]-B15)/B15</f>
        <v>-5.3328378643886225E-2</v>
      </c>
      <c r="F16" s="8">
        <f t="shared" si="0"/>
        <v>6</v>
      </c>
      <c r="G16" s="59">
        <f>IFERROR(IF(G15+$H$5&gt;$H$3+$H$5,"",G15+$H$5),"")</f>
        <v>3.5956075958490416E-2</v>
      </c>
      <c r="H16" s="9">
        <v>10</v>
      </c>
      <c r="I16" s="13">
        <f>IF(F16&lt;&gt;"",H16/$H$6,"")</f>
        <v>0.19607843137254902</v>
      </c>
      <c r="J16" s="28">
        <f t="shared" si="1"/>
        <v>0.82352941176470584</v>
      </c>
      <c r="U16" s="4" t="s">
        <v>7</v>
      </c>
      <c r="V16" s="17">
        <f>_xlfn.QUARTILE.INC(tblDataTotal[Taux de rentabilité TOTAL],2)</f>
        <v>-1.2012412171923123E-3</v>
      </c>
    </row>
    <row r="17" spans="1:22" x14ac:dyDescent="0.2">
      <c r="A17" s="57">
        <v>42072</v>
      </c>
      <c r="B17" s="20">
        <v>47.16</v>
      </c>
      <c r="C17" s="61">
        <f>(tblDataTotal[[#This Row],[Côte]]-B16)/B16</f>
        <v>-7.1104983257829546E-2</v>
      </c>
      <c r="F17" s="8">
        <f t="shared" si="0"/>
        <v>7</v>
      </c>
      <c r="G17" s="59">
        <f>IFERROR(IF(G16+$H$5&gt;$H$3+$H$5,"",G16+$H$5),"")</f>
        <v>6.2469573053577102E-2</v>
      </c>
      <c r="H17" s="9">
        <v>5</v>
      </c>
      <c r="I17" s="13">
        <f>IF(F17&lt;&gt;"",H17/$H$6,"")</f>
        <v>9.8039215686274508E-2</v>
      </c>
      <c r="J17" s="28">
        <f t="shared" si="1"/>
        <v>0.92156862745098034</v>
      </c>
      <c r="U17" s="4" t="s">
        <v>4</v>
      </c>
      <c r="V17" s="17">
        <f>_xlfn.QUARTILE.INC(tblDataTotal[Taux de rentabilité TOTAL],1)</f>
        <v>-3.0285091535292484E-2</v>
      </c>
    </row>
    <row r="18" spans="1:22" x14ac:dyDescent="0.2">
      <c r="A18" s="57">
        <v>42079</v>
      </c>
      <c r="B18" s="20">
        <v>50.650002000000001</v>
      </c>
      <c r="C18" s="61">
        <f>(tblDataTotal[[#This Row],[Côte]]-B17)/B17</f>
        <v>7.4003435114503913E-2</v>
      </c>
      <c r="F18" s="8">
        <f t="shared" si="0"/>
        <v>8</v>
      </c>
      <c r="G18" s="59">
        <f>IFERROR(IF(G17+$H$5&gt;$H$3+$H$5,"",G17+$H$5),"")</f>
        <v>8.8983070148663787E-2</v>
      </c>
      <c r="H18" s="9">
        <v>4</v>
      </c>
      <c r="I18" s="13">
        <f>IF(F18&lt;&gt;"",H18/$H$6,"")</f>
        <v>7.8431372549019607E-2</v>
      </c>
      <c r="J18" s="28">
        <f t="shared" si="1"/>
        <v>1</v>
      </c>
      <c r="U18" s="4" t="s">
        <v>0</v>
      </c>
      <c r="V18" s="17">
        <f>MIN(tblDataTotal[Taux de rentabilité TOTAL])</f>
        <v>-9.6611409516942998E-2</v>
      </c>
    </row>
    <row r="19" spans="1:22" x14ac:dyDescent="0.2">
      <c r="A19" s="57">
        <v>42086</v>
      </c>
      <c r="B19" s="20">
        <v>50.82</v>
      </c>
      <c r="C19" s="61">
        <f>(tblDataTotal[[#This Row],[Côte]]-B18)/B18</f>
        <v>3.3563276068577382E-3</v>
      </c>
      <c r="F19" s="8">
        <f t="shared" si="0"/>
        <v>9</v>
      </c>
      <c r="G19" s="59">
        <f>IFERROR(IF(G18+$H$5&gt;$H$3+$H$5,"",G18+$H$5),"")</f>
        <v>0.11549656724375047</v>
      </c>
      <c r="H19" s="9">
        <v>0</v>
      </c>
      <c r="I19" s="13">
        <f>IF(F19&lt;&gt;"",H19/$H$6,"")</f>
        <v>0</v>
      </c>
      <c r="J19" s="28">
        <f t="shared" si="1"/>
        <v>1</v>
      </c>
      <c r="U19" s="4" t="s">
        <v>26</v>
      </c>
      <c r="V19" s="17">
        <f>V18</f>
        <v>-9.6611409516942998E-2</v>
      </c>
    </row>
    <row r="20" spans="1:22" x14ac:dyDescent="0.2">
      <c r="A20" s="57">
        <v>42093</v>
      </c>
      <c r="B20" s="20">
        <v>50.009998000000003</v>
      </c>
      <c r="C20" s="61">
        <f>(tblDataTotal[[#This Row],[Côte]]-B19)/B19</f>
        <v>-1.5938646202282511E-2</v>
      </c>
      <c r="F20" s="8" t="str">
        <f t="shared" si="0"/>
        <v/>
      </c>
      <c r="G20" s="59" t="str">
        <f>IFERROR(IF(G19+$H$5&gt;$H$3+$H$5,"",G19+$H$5),"")</f>
        <v/>
      </c>
      <c r="H20" s="9">
        <v>0</v>
      </c>
      <c r="I20" s="13" t="str">
        <f>IF(F20&lt;&gt;"",H20/$H$6,"")</f>
        <v/>
      </c>
      <c r="J20" s="28" t="str">
        <f t="shared" si="1"/>
        <v/>
      </c>
      <c r="U20" s="4" t="s">
        <v>28</v>
      </c>
      <c r="V20" s="16">
        <f>COUNTIF(tblDataTotal[Taux de rentabilité TOTAL],"&lt;"&amp;V19)</f>
        <v>0</v>
      </c>
    </row>
    <row r="21" spans="1:22" x14ac:dyDescent="0.2">
      <c r="A21" s="57">
        <v>42100</v>
      </c>
      <c r="B21" s="20">
        <v>51.41</v>
      </c>
      <c r="C21" s="61">
        <f>(tblDataTotal[[#This Row],[Côte]]-B20)/B20</f>
        <v>2.7994442231331292E-2</v>
      </c>
      <c r="F21" s="8" t="str">
        <f t="shared" si="0"/>
        <v/>
      </c>
      <c r="G21" s="59" t="str">
        <f>IFERROR(IF(G20+$H$5&gt;$H$3+$H$5,"",G20+$H$5),"")</f>
        <v/>
      </c>
      <c r="H21" s="9" t="e">
        <v>#N/A</v>
      </c>
      <c r="I21" s="13" t="str">
        <f>IF(F21&lt;&gt;"",H21/$H$6,"")</f>
        <v/>
      </c>
      <c r="J21" s="28" t="str">
        <f t="shared" si="1"/>
        <v/>
      </c>
    </row>
    <row r="22" spans="1:22" x14ac:dyDescent="0.2">
      <c r="A22" s="57">
        <v>42107</v>
      </c>
      <c r="B22" s="20">
        <v>52.82</v>
      </c>
      <c r="C22" s="61">
        <f>(tblDataTotal[[#This Row],[Côte]]-B21)/B21</f>
        <v>2.7426570706088383E-2</v>
      </c>
      <c r="F22" s="8" t="str">
        <f t="shared" si="0"/>
        <v/>
      </c>
      <c r="G22" s="59" t="str">
        <f>IFERROR(IF(G21+$H$5&gt;$H$3+$H$5,"",G21+$H$5),"")</f>
        <v/>
      </c>
      <c r="H22" s="9" t="e">
        <v>#N/A</v>
      </c>
      <c r="I22" s="13" t="str">
        <f>IF(F22&lt;&gt;"",H22/$H$6,"")</f>
        <v/>
      </c>
      <c r="J22" s="28" t="str">
        <f t="shared" si="1"/>
        <v/>
      </c>
      <c r="U22" s="54" t="s">
        <v>5</v>
      </c>
      <c r="V22" s="15">
        <f>AVERAGE(tblDataTotal[Taux de rentabilité TOTAL])</f>
        <v>-1.5789642567486013E-3</v>
      </c>
    </row>
    <row r="23" spans="1:22" x14ac:dyDescent="0.2">
      <c r="A23" s="57">
        <v>42114</v>
      </c>
      <c r="B23" s="20">
        <v>51.869999</v>
      </c>
      <c r="C23" s="61">
        <f>(tblDataTotal[[#This Row],[Côte]]-B22)/B22</f>
        <v>-1.7985630443014017E-2</v>
      </c>
      <c r="F23" s="8" t="str">
        <f t="shared" si="0"/>
        <v/>
      </c>
      <c r="G23" s="59" t="str">
        <f>IFERROR(IF(G22+$H$5&gt;$H$3+$H$5,"",G22+$H$5),"")</f>
        <v/>
      </c>
      <c r="H23" s="9" t="e">
        <v>#N/A</v>
      </c>
      <c r="I23" s="13" t="str">
        <f>IF(F23&lt;&gt;"",H23/$H$6,"")</f>
        <v/>
      </c>
      <c r="J23" s="28" t="str">
        <f t="shared" si="1"/>
        <v/>
      </c>
      <c r="U23" s="54" t="s">
        <v>32</v>
      </c>
      <c r="V23" s="15" t="e">
        <f>_xlfn.MODE.SNGL(tblDataTotal[Taux de rentabilité TOTAL])</f>
        <v>#N/A</v>
      </c>
    </row>
    <row r="24" spans="1:22" x14ac:dyDescent="0.2">
      <c r="A24" s="57">
        <v>42121</v>
      </c>
      <c r="B24" s="20">
        <v>54.32</v>
      </c>
      <c r="C24" s="61">
        <f>(tblDataTotal[[#This Row],[Côte]]-B23)/B23</f>
        <v>4.7233488475679368E-2</v>
      </c>
      <c r="F24" s="8" t="str">
        <f t="shared" si="0"/>
        <v/>
      </c>
      <c r="G24" s="59" t="str">
        <f>IFERROR(IF(G23+$H$5&gt;$H$3+$H$5,"",G23+$H$5),"")</f>
        <v/>
      </c>
      <c r="H24" s="9" t="e">
        <v>#N/A</v>
      </c>
      <c r="I24" s="13" t="str">
        <f>IF(F24&lt;&gt;"",H24/$H$6,"")</f>
        <v/>
      </c>
      <c r="J24" s="28" t="str">
        <f t="shared" si="1"/>
        <v/>
      </c>
      <c r="U24" s="38" t="s">
        <v>33</v>
      </c>
      <c r="V24" s="1">
        <f>COUNTIF(tblDataTotal[Taux de rentabilité TOTAL],V23)</f>
        <v>0</v>
      </c>
    </row>
    <row r="25" spans="1:22" x14ac:dyDescent="0.2">
      <c r="A25" s="57">
        <v>42128</v>
      </c>
      <c r="B25" s="20">
        <v>53.77</v>
      </c>
      <c r="C25" s="61">
        <f>(tblDataTotal[[#This Row],[Côte]]-B24)/B24</f>
        <v>-1.0125184094256208E-2</v>
      </c>
      <c r="F25" s="8" t="str">
        <f t="shared" si="0"/>
        <v/>
      </c>
      <c r="G25" s="59" t="str">
        <f>IFERROR(IF(G24+$H$5&gt;$H$3+$H$5,"",G24+$H$5),"")</f>
        <v/>
      </c>
      <c r="H25" s="9" t="e">
        <v>#N/A</v>
      </c>
      <c r="I25" s="13" t="str">
        <f>IF(F25&lt;&gt;"",H25/$H$6,"")</f>
        <v/>
      </c>
      <c r="J25" s="28" t="str">
        <f t="shared" si="1"/>
        <v/>
      </c>
      <c r="V25" s="14"/>
    </row>
    <row r="26" spans="1:22" x14ac:dyDescent="0.2">
      <c r="A26" s="57">
        <v>42135</v>
      </c>
      <c r="B26" s="20">
        <v>53.549999</v>
      </c>
      <c r="C26" s="61">
        <f>(tblDataTotal[[#This Row],[Côte]]-B25)/B25</f>
        <v>-4.0915194346290394E-3</v>
      </c>
      <c r="F26" s="8" t="str">
        <f t="shared" si="0"/>
        <v/>
      </c>
      <c r="G26" s="59" t="str">
        <f>IFERROR(IF(G25+$H$5&gt;$H$3+$H$5,"",G25+$H$5),"")</f>
        <v/>
      </c>
      <c r="H26" s="9" t="e">
        <v>#N/A</v>
      </c>
      <c r="I26" s="13" t="str">
        <f>IF(F26&lt;&gt;"",H26/$H$6,"")</f>
        <v/>
      </c>
      <c r="J26" s="28" t="str">
        <f t="shared" si="1"/>
        <v/>
      </c>
      <c r="V26" s="14"/>
    </row>
    <row r="27" spans="1:22" x14ac:dyDescent="0.2">
      <c r="A27" s="57">
        <v>42142</v>
      </c>
      <c r="B27" s="20">
        <v>52.5</v>
      </c>
      <c r="C27" s="61">
        <f>(tblDataTotal[[#This Row],[Côte]]-B26)/B26</f>
        <v>-1.9607824829277767E-2</v>
      </c>
      <c r="F27" s="8" t="str">
        <f t="shared" si="0"/>
        <v/>
      </c>
      <c r="G27" s="59" t="str">
        <f>IFERROR(IF(G26+$H$5&gt;$H$3+$H$5,"",G26+$H$5),"")</f>
        <v/>
      </c>
      <c r="H27" s="9" t="e">
        <v>#N/A</v>
      </c>
      <c r="I27" s="13" t="str">
        <f>IF(F27&lt;&gt;"",H27/$H$6,"")</f>
        <v/>
      </c>
      <c r="J27" s="28" t="str">
        <f t="shared" si="1"/>
        <v/>
      </c>
      <c r="V27" s="14"/>
    </row>
    <row r="28" spans="1:22" x14ac:dyDescent="0.2">
      <c r="A28" s="57">
        <v>42150</v>
      </c>
      <c r="B28" s="20">
        <v>50.490001999999997</v>
      </c>
      <c r="C28" s="61">
        <f>(tblDataTotal[[#This Row],[Côte]]-B27)/B27</f>
        <v>-3.828567619047625E-2</v>
      </c>
      <c r="F28" s="8" t="str">
        <f t="shared" si="0"/>
        <v/>
      </c>
      <c r="G28" s="59" t="str">
        <f>IFERROR(IF(G27+$H$5&gt;$H$3+$H$5,"",G27+$H$5),"")</f>
        <v/>
      </c>
      <c r="H28" s="9" t="e">
        <v>#N/A</v>
      </c>
      <c r="I28" s="13" t="str">
        <f>IF(F28&lt;&gt;"",H28/$H$6,"")</f>
        <v/>
      </c>
      <c r="J28" s="28" t="str">
        <f t="shared" si="1"/>
        <v/>
      </c>
      <c r="V28" s="14"/>
    </row>
    <row r="29" spans="1:22" x14ac:dyDescent="0.2">
      <c r="A29" s="57">
        <v>42156</v>
      </c>
      <c r="B29" s="20">
        <v>50.049999</v>
      </c>
      <c r="C29" s="61">
        <f>(tblDataTotal[[#This Row],[Côte]]-B28)/B28</f>
        <v>-8.7146560223942404E-3</v>
      </c>
      <c r="F29" s="8" t="str">
        <f t="shared" si="0"/>
        <v/>
      </c>
      <c r="G29" s="59" t="str">
        <f>IFERROR(IF(G28+$H$5&gt;$H$3+$H$5,"",G28+$H$5),"")</f>
        <v/>
      </c>
      <c r="H29" s="9" t="e">
        <v>#N/A</v>
      </c>
      <c r="I29" s="13" t="str">
        <f>IF(F29&lt;&gt;"",H29/$H$6,"")</f>
        <v/>
      </c>
      <c r="J29" s="28" t="str">
        <f t="shared" si="1"/>
        <v/>
      </c>
      <c r="V29" s="14"/>
    </row>
    <row r="30" spans="1:22" x14ac:dyDescent="0.2">
      <c r="A30" s="57">
        <v>42163</v>
      </c>
      <c r="B30" s="20">
        <v>49.950001</v>
      </c>
      <c r="C30" s="61">
        <f>(tblDataTotal[[#This Row],[Côte]]-B29)/B29</f>
        <v>-1.9979620778813475E-3</v>
      </c>
      <c r="F30" s="8" t="str">
        <f t="shared" si="0"/>
        <v/>
      </c>
      <c r="G30" s="59" t="str">
        <f>IFERROR(IF(G29+$H$5&gt;$H$3+$H$5,"",G29+$H$5),"")</f>
        <v/>
      </c>
      <c r="H30" s="9" t="e">
        <v>#N/A</v>
      </c>
      <c r="I30" s="13" t="str">
        <f>IF(F30&lt;&gt;"",H30/$H$6,"")</f>
        <v/>
      </c>
      <c r="J30" s="28" t="str">
        <f t="shared" si="1"/>
        <v/>
      </c>
      <c r="V30" s="14"/>
    </row>
    <row r="31" spans="1:22" x14ac:dyDescent="0.2">
      <c r="A31" s="57">
        <v>42170</v>
      </c>
      <c r="B31" s="20">
        <v>49.889999000000003</v>
      </c>
      <c r="C31" s="61">
        <f>(tblDataTotal[[#This Row],[Côte]]-B30)/B30</f>
        <v>-1.2012412171923123E-3</v>
      </c>
      <c r="F31" s="8" t="str">
        <f t="shared" si="0"/>
        <v/>
      </c>
      <c r="G31" s="59" t="str">
        <f>IFERROR(IF(G30+$H$5&gt;$H$3+$H$5,"",G30+$H$5),"")</f>
        <v/>
      </c>
      <c r="H31" s="9" t="e">
        <v>#N/A</v>
      </c>
      <c r="I31" s="13" t="str">
        <f>IF(F31&lt;&gt;"",H31/$H$6,"")</f>
        <v/>
      </c>
      <c r="J31" s="28" t="str">
        <f t="shared" si="1"/>
        <v/>
      </c>
      <c r="V31" s="14"/>
    </row>
    <row r="32" spans="1:22" x14ac:dyDescent="0.2">
      <c r="A32" s="57">
        <v>42177</v>
      </c>
      <c r="B32" s="20">
        <v>52.09</v>
      </c>
      <c r="C32" s="61">
        <f>(tblDataTotal[[#This Row],[Côte]]-B31)/B31</f>
        <v>4.4097034357527251E-2</v>
      </c>
      <c r="F32" s="8" t="str">
        <f t="shared" si="0"/>
        <v/>
      </c>
      <c r="G32" s="59" t="str">
        <f>IFERROR(IF(G31+$H$5&gt;$H$3+$H$5,"",G31+$H$5),"")</f>
        <v/>
      </c>
      <c r="H32" s="9" t="e">
        <v>#N/A</v>
      </c>
      <c r="I32" s="13" t="str">
        <f>IF(F32&lt;&gt;"",H32/$H$6,"")</f>
        <v/>
      </c>
      <c r="J32" s="28" t="str">
        <f t="shared" si="1"/>
        <v/>
      </c>
      <c r="V32" s="14"/>
    </row>
    <row r="33" spans="1:22" x14ac:dyDescent="0.2">
      <c r="A33" s="57">
        <v>42184</v>
      </c>
      <c r="B33" s="20">
        <v>48.610000999999997</v>
      </c>
      <c r="C33" s="61">
        <f>(tblDataTotal[[#This Row],[Côte]]-B32)/B32</f>
        <v>-6.6807429449030648E-2</v>
      </c>
      <c r="F33" s="8" t="str">
        <f t="shared" si="0"/>
        <v/>
      </c>
      <c r="G33" s="59" t="str">
        <f>IFERROR(IF(G32+$H$5&gt;$H$3+$H$5,"",G32+$H$5),"")</f>
        <v/>
      </c>
      <c r="H33" s="9" t="e">
        <v>#N/A</v>
      </c>
      <c r="I33" s="13" t="str">
        <f>IF(F33&lt;&gt;"",H33/$H$6,"")</f>
        <v/>
      </c>
      <c r="J33" s="28" t="str">
        <f t="shared" si="1"/>
        <v/>
      </c>
      <c r="V33" s="14"/>
    </row>
    <row r="34" spans="1:22" x14ac:dyDescent="0.2">
      <c r="A34" s="57">
        <v>42191</v>
      </c>
      <c r="B34" s="20">
        <v>49.740001999999997</v>
      </c>
      <c r="C34" s="61">
        <f>(tblDataTotal[[#This Row],[Côte]]-B33)/B33</f>
        <v>2.324626572215047E-2</v>
      </c>
      <c r="F34" s="8" t="str">
        <f t="shared" si="0"/>
        <v/>
      </c>
      <c r="G34" s="59" t="str">
        <f>IFERROR(IF(G33+$H$5&gt;$H$3+$H$5,"",G33+$H$5),"")</f>
        <v/>
      </c>
      <c r="H34" s="9" t="e">
        <v>#N/A</v>
      </c>
      <c r="I34" s="13" t="str">
        <f>IF(F34&lt;&gt;"",H34/$H$6,"")</f>
        <v/>
      </c>
      <c r="J34" s="28" t="str">
        <f t="shared" si="1"/>
        <v/>
      </c>
    </row>
    <row r="35" spans="1:22" x14ac:dyDescent="0.2">
      <c r="A35" s="57">
        <v>42198</v>
      </c>
      <c r="B35" s="20">
        <v>49.389999000000003</v>
      </c>
      <c r="C35" s="61">
        <f>(tblDataTotal[[#This Row],[Côte]]-B34)/B34</f>
        <v>-7.0366503000943558E-3</v>
      </c>
      <c r="F35" s="8" t="str">
        <f t="shared" si="0"/>
        <v/>
      </c>
      <c r="G35" s="59" t="str">
        <f>IFERROR(IF(G34+$H$5&gt;$H$3+$H$5,"",G34+$H$5),"")</f>
        <v/>
      </c>
      <c r="H35" s="9" t="e">
        <v>#N/A</v>
      </c>
      <c r="I35" s="13" t="str">
        <f>IF(F35&lt;&gt;"",H35/$H$6,"")</f>
        <v/>
      </c>
      <c r="J35" s="28" t="str">
        <f t="shared" si="1"/>
        <v/>
      </c>
    </row>
    <row r="36" spans="1:22" x14ac:dyDescent="0.2">
      <c r="A36" s="57">
        <v>42205</v>
      </c>
      <c r="B36" s="20">
        <v>47.900002000000001</v>
      </c>
      <c r="C36" s="61">
        <f>(tblDataTotal[[#This Row],[Côte]]-B35)/B35</f>
        <v>-3.0167990082364697E-2</v>
      </c>
      <c r="F36" s="8" t="str">
        <f t="shared" si="0"/>
        <v/>
      </c>
      <c r="G36" s="59" t="str">
        <f>IFERROR(IF(G35+$H$5&gt;$H$3+$H$5,"",G35+$H$5),"")</f>
        <v/>
      </c>
      <c r="H36" s="9" t="e">
        <v>#N/A</v>
      </c>
      <c r="I36" s="13" t="str">
        <f>IF(F36&lt;&gt;"",H36/$H$6,"")</f>
        <v/>
      </c>
      <c r="J36" s="28" t="str">
        <f t="shared" si="1"/>
        <v/>
      </c>
    </row>
    <row r="37" spans="1:22" x14ac:dyDescent="0.2">
      <c r="A37" s="57">
        <v>42212</v>
      </c>
      <c r="B37" s="20">
        <v>49.290000999999997</v>
      </c>
      <c r="C37" s="61">
        <f>(tblDataTotal[[#This Row],[Côte]]-B36)/B36</f>
        <v>2.9018767055583754E-2</v>
      </c>
      <c r="F37" s="8" t="str">
        <f t="shared" si="0"/>
        <v/>
      </c>
      <c r="G37" s="59" t="str">
        <f>IFERROR(IF(G36+$H$5&gt;$H$3+$H$5,"",G36+$H$5),"")</f>
        <v/>
      </c>
      <c r="H37" s="9" t="e">
        <v>#N/A</v>
      </c>
      <c r="I37" s="13" t="str">
        <f>IF(F37&lt;&gt;"",H37/$H$6,"")</f>
        <v/>
      </c>
      <c r="J37" s="28" t="str">
        <f t="shared" si="1"/>
        <v/>
      </c>
    </row>
    <row r="38" spans="1:22" x14ac:dyDescent="0.2">
      <c r="A38" s="57">
        <v>42219</v>
      </c>
      <c r="B38" s="20">
        <v>49.830002</v>
      </c>
      <c r="C38" s="61">
        <f>(tblDataTotal[[#This Row],[Côte]]-B37)/B37</f>
        <v>1.095558914677246E-2</v>
      </c>
      <c r="F38" s="8" t="str">
        <f t="shared" si="0"/>
        <v/>
      </c>
      <c r="G38" s="59" t="str">
        <f>IFERROR(IF(G37+$H$5&gt;$H$3+$H$5,"",G37+$H$5),"")</f>
        <v/>
      </c>
      <c r="H38" s="9" t="e">
        <v>#N/A</v>
      </c>
      <c r="I38" s="13" t="str">
        <f>IF(F38&lt;&gt;"",H38/$H$6,"")</f>
        <v/>
      </c>
      <c r="J38" s="28" t="str">
        <f t="shared" si="1"/>
        <v/>
      </c>
    </row>
    <row r="39" spans="1:22" x14ac:dyDescent="0.2">
      <c r="A39" s="57">
        <v>42226</v>
      </c>
      <c r="B39" s="20">
        <v>49.060001</v>
      </c>
      <c r="C39" s="61">
        <f>(tblDataTotal[[#This Row],[Côte]]-B38)/B38</f>
        <v>-1.5452558079367539E-2</v>
      </c>
      <c r="F39" s="8" t="str">
        <f t="shared" si="0"/>
        <v/>
      </c>
      <c r="G39" s="59" t="str">
        <f>IFERROR(IF(G38+$H$5&gt;$H$3+$H$5,"",G38+$H$5),"")</f>
        <v/>
      </c>
      <c r="H39" s="9" t="e">
        <v>#N/A</v>
      </c>
      <c r="I39" s="13" t="str">
        <f>IF(F39&lt;&gt;"",H39/$H$6,"")</f>
        <v/>
      </c>
      <c r="J39" s="28" t="str">
        <f t="shared" si="1"/>
        <v/>
      </c>
    </row>
    <row r="40" spans="1:22" x14ac:dyDescent="0.2">
      <c r="A40" s="57">
        <v>42233</v>
      </c>
      <c r="B40" s="20">
        <v>46.029998999999997</v>
      </c>
      <c r="C40" s="61">
        <f>(tblDataTotal[[#This Row],[Côte]]-B39)/B39</f>
        <v>-6.1761148353829086E-2</v>
      </c>
      <c r="F40" s="10" t="str">
        <f t="shared" si="0"/>
        <v/>
      </c>
      <c r="G40" s="60" t="str">
        <f>IFERROR(IF(G39+$H$5&gt;$H$3+$H$5,"",G39+$H$5),"")</f>
        <v/>
      </c>
      <c r="H40" s="11" t="e">
        <v>#N/A</v>
      </c>
      <c r="I40" s="29" t="str">
        <f>IF(F40&lt;&gt;"",H40/$H$6,"")</f>
        <v/>
      </c>
      <c r="J40" s="30" t="str">
        <f t="shared" si="1"/>
        <v/>
      </c>
    </row>
    <row r="41" spans="1:22" x14ac:dyDescent="0.2">
      <c r="A41" s="57">
        <v>42240</v>
      </c>
      <c r="B41" s="20">
        <v>46.09</v>
      </c>
      <c r="C41" s="61">
        <f>(tblDataTotal[[#This Row],[Côte]]-B40)/B40</f>
        <v>1.3035194721600332E-3</v>
      </c>
    </row>
    <row r="42" spans="1:22" x14ac:dyDescent="0.2">
      <c r="A42" s="57">
        <v>42247</v>
      </c>
      <c r="B42" s="20">
        <v>44.110000999999997</v>
      </c>
      <c r="C42" s="61">
        <f>(tblDataTotal[[#This Row],[Côte]]-B41)/B41</f>
        <v>-4.2959405510956963E-2</v>
      </c>
    </row>
    <row r="43" spans="1:22" x14ac:dyDescent="0.2">
      <c r="A43" s="57">
        <v>42255</v>
      </c>
      <c r="B43" s="20">
        <v>45.119999</v>
      </c>
      <c r="C43" s="61">
        <f>(tblDataTotal[[#This Row],[Côte]]-B42)/B42</f>
        <v>2.2897256338760979E-2</v>
      </c>
    </row>
    <row r="44" spans="1:22" x14ac:dyDescent="0.2">
      <c r="A44" s="57">
        <v>42261</v>
      </c>
      <c r="B44" s="20">
        <v>46.189999</v>
      </c>
      <c r="C44" s="61">
        <f>(tblDataTotal[[#This Row],[Côte]]-B43)/B43</f>
        <v>2.3714539532680403E-2</v>
      </c>
    </row>
    <row r="45" spans="1:22" x14ac:dyDescent="0.2">
      <c r="A45" s="57">
        <v>42268</v>
      </c>
      <c r="B45" s="20">
        <v>44.389999000000003</v>
      </c>
      <c r="C45" s="61">
        <f>(tblDataTotal[[#This Row],[Côte]]-B44)/B44</f>
        <v>-3.8969474755779866E-2</v>
      </c>
    </row>
    <row r="46" spans="1:22" x14ac:dyDescent="0.2">
      <c r="A46" s="57">
        <v>42275</v>
      </c>
      <c r="B46" s="20">
        <v>47.200001</v>
      </c>
      <c r="C46" s="61">
        <f>(tblDataTotal[[#This Row],[Côte]]-B45)/B45</f>
        <v>6.3302592099630309E-2</v>
      </c>
    </row>
    <row r="47" spans="1:22" x14ac:dyDescent="0.2">
      <c r="A47" s="57">
        <v>42282</v>
      </c>
      <c r="B47" s="20">
        <v>51.400002000000001</v>
      </c>
      <c r="C47" s="61">
        <f>(tblDataTotal[[#This Row],[Côte]]-B46)/B46</f>
        <v>8.8983070148663773E-2</v>
      </c>
    </row>
    <row r="48" spans="1:22" x14ac:dyDescent="0.2">
      <c r="A48" s="57">
        <v>42289</v>
      </c>
      <c r="B48" s="20">
        <v>51.970001000000003</v>
      </c>
      <c r="C48" s="61">
        <f>(tblDataTotal[[#This Row],[Côte]]-B47)/B47</f>
        <v>1.1089474276674206E-2</v>
      </c>
    </row>
    <row r="49" spans="1:3" x14ac:dyDescent="0.2">
      <c r="A49" s="57">
        <v>42296</v>
      </c>
      <c r="B49" s="20">
        <v>50.389999000000003</v>
      </c>
      <c r="C49" s="61">
        <f>(tblDataTotal[[#This Row],[Côte]]-B48)/B48</f>
        <v>-3.0402192988220268E-2</v>
      </c>
    </row>
    <row r="50" spans="1:3" x14ac:dyDescent="0.2">
      <c r="A50" s="57">
        <v>42303</v>
      </c>
      <c r="B50" s="20">
        <v>48.23</v>
      </c>
      <c r="C50" s="61">
        <f>(tblDataTotal[[#This Row],[Côte]]-B49)/B49</f>
        <v>-4.2865628951491069E-2</v>
      </c>
    </row>
    <row r="51" spans="1:3" x14ac:dyDescent="0.2">
      <c r="A51" s="57">
        <v>42310</v>
      </c>
      <c r="B51" s="20">
        <v>50.009998000000003</v>
      </c>
      <c r="C51" s="61">
        <f>(tblDataTotal[[#This Row],[Côte]]-B50)/B50</f>
        <v>3.6906448268712554E-2</v>
      </c>
    </row>
    <row r="52" spans="1:3" x14ac:dyDescent="0.2">
      <c r="A52" s="57">
        <v>42317</v>
      </c>
      <c r="B52" s="20">
        <v>48.049999</v>
      </c>
      <c r="C52" s="61">
        <f>(tblDataTotal[[#This Row],[Côte]]-B51)/B51</f>
        <v>-3.9192143139057979E-2</v>
      </c>
    </row>
    <row r="53" spans="1:3" x14ac:dyDescent="0.2">
      <c r="A53" s="57">
        <v>42324</v>
      </c>
      <c r="B53" s="20">
        <v>49.23</v>
      </c>
      <c r="C53" s="61">
        <f>(tblDataTotal[[#This Row],[Côte]]-B52)/B52</f>
        <v>2.4557773664053505E-2</v>
      </c>
    </row>
    <row r="54" spans="1:3" x14ac:dyDescent="0.2">
      <c r="A54" s="57">
        <v>42331</v>
      </c>
      <c r="B54" s="20">
        <v>49.23</v>
      </c>
      <c r="C54" s="61">
        <f>(tblDataTotal[[#This Row],[Côte]]-B53)/B53</f>
        <v>0</v>
      </c>
    </row>
    <row r="55" spans="1:3" x14ac:dyDescent="0.2">
      <c r="A55" s="57"/>
      <c r="B55" s="57"/>
      <c r="C55" s="20"/>
    </row>
    <row r="56" spans="1:3" x14ac:dyDescent="0.2">
      <c r="A56" s="57"/>
      <c r="B56" s="57"/>
    </row>
    <row r="57" spans="1:3" x14ac:dyDescent="0.2">
      <c r="A57" s="57"/>
      <c r="B57" s="57"/>
    </row>
    <row r="58" spans="1:3" x14ac:dyDescent="0.2">
      <c r="A58" s="57"/>
      <c r="B58" s="57"/>
    </row>
    <row r="59" spans="1:3" x14ac:dyDescent="0.2">
      <c r="A59" s="57"/>
      <c r="B59" s="57"/>
    </row>
    <row r="60" spans="1:3" x14ac:dyDescent="0.2">
      <c r="A60" s="57"/>
      <c r="B60" s="57"/>
    </row>
    <row r="61" spans="1:3" x14ac:dyDescent="0.2">
      <c r="A61" s="57"/>
      <c r="B61" s="57"/>
    </row>
    <row r="62" spans="1:3" x14ac:dyDescent="0.2">
      <c r="A62" s="57"/>
      <c r="B62" s="57"/>
    </row>
    <row r="63" spans="1:3" x14ac:dyDescent="0.2">
      <c r="A63" s="57"/>
      <c r="B63" s="57"/>
    </row>
    <row r="64" spans="1:3" x14ac:dyDescent="0.2">
      <c r="A64" s="57"/>
      <c r="B64" s="57"/>
    </row>
    <row r="65" spans="1:2" x14ac:dyDescent="0.2">
      <c r="A65" s="57"/>
      <c r="B65" s="57"/>
    </row>
    <row r="66" spans="1:2" x14ac:dyDescent="0.2">
      <c r="A66" s="57"/>
      <c r="B66" s="57"/>
    </row>
    <row r="67" spans="1:2" x14ac:dyDescent="0.2">
      <c r="A67" s="57"/>
      <c r="B67" s="57"/>
    </row>
    <row r="68" spans="1:2" x14ac:dyDescent="0.2">
      <c r="A68" s="57"/>
      <c r="B68" s="57"/>
    </row>
    <row r="69" spans="1:2" x14ac:dyDescent="0.2">
      <c r="A69" s="57"/>
      <c r="B69" s="57"/>
    </row>
    <row r="70" spans="1:2" x14ac:dyDescent="0.2">
      <c r="A70" s="57"/>
      <c r="B70" s="57"/>
    </row>
    <row r="71" spans="1:2" x14ac:dyDescent="0.2">
      <c r="A71" s="57"/>
      <c r="B71" s="57"/>
    </row>
    <row r="72" spans="1:2" x14ac:dyDescent="0.2">
      <c r="A72" s="57"/>
      <c r="B72" s="57"/>
    </row>
    <row r="73" spans="1:2" x14ac:dyDescent="0.2">
      <c r="A73" s="57"/>
      <c r="B73" s="57"/>
    </row>
    <row r="74" spans="1:2" x14ac:dyDescent="0.2">
      <c r="A74" s="57"/>
      <c r="B74" s="57"/>
    </row>
    <row r="75" spans="1:2" x14ac:dyDescent="0.2">
      <c r="A75" s="57"/>
      <c r="B75" s="57"/>
    </row>
    <row r="76" spans="1:2" x14ac:dyDescent="0.2">
      <c r="A76" s="57"/>
      <c r="B76" s="57"/>
    </row>
    <row r="77" spans="1:2" x14ac:dyDescent="0.2">
      <c r="A77" s="57"/>
      <c r="B77" s="57"/>
    </row>
    <row r="78" spans="1:2" x14ac:dyDescent="0.2">
      <c r="A78" s="57"/>
      <c r="B78" s="57"/>
    </row>
    <row r="79" spans="1:2" x14ac:dyDescent="0.2">
      <c r="A79" s="57"/>
      <c r="B79" s="57"/>
    </row>
    <row r="80" spans="1:2" x14ac:dyDescent="0.2">
      <c r="A80" s="57"/>
      <c r="B80" s="57"/>
    </row>
    <row r="81" spans="1:2" x14ac:dyDescent="0.2">
      <c r="A81" s="57"/>
      <c r="B81" s="57"/>
    </row>
    <row r="82" spans="1:2" x14ac:dyDescent="0.2">
      <c r="A82" s="57"/>
      <c r="B82" s="57"/>
    </row>
    <row r="83" spans="1:2" x14ac:dyDescent="0.2">
      <c r="A83" s="57"/>
      <c r="B83" s="57"/>
    </row>
    <row r="84" spans="1:2" x14ac:dyDescent="0.2">
      <c r="A84" s="57"/>
      <c r="B84" s="57"/>
    </row>
    <row r="85" spans="1:2" x14ac:dyDescent="0.2">
      <c r="A85" s="57"/>
      <c r="B85" s="57"/>
    </row>
    <row r="86" spans="1:2" x14ac:dyDescent="0.2">
      <c r="A86" s="57"/>
      <c r="B86" s="57"/>
    </row>
    <row r="87" spans="1:2" x14ac:dyDescent="0.2">
      <c r="A87" s="57"/>
      <c r="B87" s="57"/>
    </row>
    <row r="88" spans="1:2" x14ac:dyDescent="0.2">
      <c r="A88" s="57"/>
      <c r="B88" s="57"/>
    </row>
    <row r="89" spans="1:2" x14ac:dyDescent="0.2">
      <c r="A89" s="57"/>
      <c r="B89" s="57"/>
    </row>
    <row r="90" spans="1:2" x14ac:dyDescent="0.2">
      <c r="A90" s="57"/>
      <c r="B90" s="57"/>
    </row>
    <row r="91" spans="1:2" x14ac:dyDescent="0.2">
      <c r="A91" s="57"/>
      <c r="B91" s="57"/>
    </row>
    <row r="92" spans="1:2" x14ac:dyDescent="0.2">
      <c r="A92" s="57"/>
      <c r="B92" s="57"/>
    </row>
    <row r="93" spans="1:2" x14ac:dyDescent="0.2">
      <c r="A93" s="57"/>
      <c r="B93" s="57"/>
    </row>
    <row r="94" spans="1:2" x14ac:dyDescent="0.2">
      <c r="A94" s="57"/>
      <c r="B94" s="57"/>
    </row>
    <row r="95" spans="1:2" x14ac:dyDescent="0.2">
      <c r="A95" s="57"/>
      <c r="B95" s="57"/>
    </row>
    <row r="96" spans="1:2" x14ac:dyDescent="0.2">
      <c r="A96" s="57"/>
      <c r="B96" s="57"/>
    </row>
    <row r="97" spans="1:2" x14ac:dyDescent="0.2">
      <c r="A97" s="57"/>
      <c r="B97" s="57"/>
    </row>
    <row r="98" spans="1:2" x14ac:dyDescent="0.2">
      <c r="A98" s="57"/>
      <c r="B98" s="57"/>
    </row>
    <row r="99" spans="1:2" x14ac:dyDescent="0.2">
      <c r="A99" s="57"/>
      <c r="B99" s="57"/>
    </row>
    <row r="100" spans="1:2" x14ac:dyDescent="0.2">
      <c r="A100" s="57"/>
      <c r="B100" s="57"/>
    </row>
    <row r="101" spans="1:2" x14ac:dyDescent="0.2">
      <c r="A101" s="57"/>
      <c r="B101" s="57"/>
    </row>
    <row r="102" spans="1:2" x14ac:dyDescent="0.2">
      <c r="A102" s="57"/>
      <c r="B102" s="57"/>
    </row>
    <row r="103" spans="1:2" x14ac:dyDescent="0.2">
      <c r="A103" s="57"/>
      <c r="B103" s="57"/>
    </row>
    <row r="104" spans="1:2" x14ac:dyDescent="0.2">
      <c r="A104" s="57"/>
      <c r="B104" s="57"/>
    </row>
    <row r="105" spans="1:2" x14ac:dyDescent="0.2">
      <c r="A105" s="57"/>
      <c r="B105" s="57"/>
    </row>
    <row r="106" spans="1:2" x14ac:dyDescent="0.2">
      <c r="A106" s="57"/>
      <c r="B106" s="57"/>
    </row>
    <row r="107" spans="1:2" x14ac:dyDescent="0.2">
      <c r="A107" s="57"/>
      <c r="B107" s="57"/>
    </row>
    <row r="108" spans="1:2" x14ac:dyDescent="0.2">
      <c r="A108" s="57"/>
      <c r="B108" s="57"/>
    </row>
    <row r="109" spans="1:2" x14ac:dyDescent="0.2">
      <c r="A109" s="57"/>
      <c r="B109" s="57"/>
    </row>
    <row r="110" spans="1:2" x14ac:dyDescent="0.2">
      <c r="A110" s="57"/>
      <c r="B110" s="57"/>
    </row>
    <row r="111" spans="1:2" x14ac:dyDescent="0.2">
      <c r="A111" s="57"/>
      <c r="B111" s="57"/>
    </row>
    <row r="112" spans="1:2" x14ac:dyDescent="0.2">
      <c r="A112" s="57"/>
      <c r="B112" s="57"/>
    </row>
    <row r="113" spans="1:2" x14ac:dyDescent="0.2">
      <c r="A113" s="57"/>
      <c r="B113" s="57"/>
    </row>
    <row r="114" spans="1:2" x14ac:dyDescent="0.2">
      <c r="A114" s="57"/>
      <c r="B114" s="57"/>
    </row>
    <row r="115" spans="1:2" x14ac:dyDescent="0.2">
      <c r="A115" s="57"/>
      <c r="B115" s="57"/>
    </row>
    <row r="116" spans="1:2" x14ac:dyDescent="0.2">
      <c r="A116" s="57"/>
      <c r="B116" s="57"/>
    </row>
    <row r="117" spans="1:2" x14ac:dyDescent="0.2">
      <c r="A117" s="57"/>
      <c r="B117" s="57"/>
    </row>
    <row r="118" spans="1:2" x14ac:dyDescent="0.2">
      <c r="A118" s="57"/>
      <c r="B118" s="57"/>
    </row>
    <row r="119" spans="1:2" x14ac:dyDescent="0.2">
      <c r="A119" s="57"/>
      <c r="B119" s="57"/>
    </row>
    <row r="120" spans="1:2" x14ac:dyDescent="0.2">
      <c r="A120" s="57"/>
      <c r="B120" s="57"/>
    </row>
    <row r="121" spans="1:2" x14ac:dyDescent="0.2">
      <c r="A121" s="57"/>
      <c r="B121" s="57"/>
    </row>
    <row r="122" spans="1:2" x14ac:dyDescent="0.2">
      <c r="A122" s="57"/>
      <c r="B122" s="57"/>
    </row>
    <row r="123" spans="1:2" x14ac:dyDescent="0.2">
      <c r="A123" s="57"/>
      <c r="B123" s="57"/>
    </row>
    <row r="124" spans="1:2" x14ac:dyDescent="0.2">
      <c r="A124" s="57"/>
      <c r="B124" s="57"/>
    </row>
    <row r="125" spans="1:2" x14ac:dyDescent="0.2">
      <c r="A125" s="57"/>
      <c r="B125" s="57"/>
    </row>
    <row r="126" spans="1:2" x14ac:dyDescent="0.2">
      <c r="A126" s="57"/>
      <c r="B126" s="57"/>
    </row>
    <row r="127" spans="1:2" x14ac:dyDescent="0.2">
      <c r="A127" s="57"/>
      <c r="B127" s="57"/>
    </row>
    <row r="128" spans="1:2" x14ac:dyDescent="0.2">
      <c r="A128" s="57"/>
      <c r="B128" s="57"/>
    </row>
    <row r="129" spans="1:2" x14ac:dyDescent="0.2">
      <c r="A129" s="57"/>
      <c r="B129" s="57"/>
    </row>
    <row r="130" spans="1:2" x14ac:dyDescent="0.2">
      <c r="A130" s="57"/>
      <c r="B130" s="57"/>
    </row>
    <row r="131" spans="1:2" x14ac:dyDescent="0.2">
      <c r="A131" s="57"/>
      <c r="B131" s="57"/>
    </row>
    <row r="132" spans="1:2" x14ac:dyDescent="0.2">
      <c r="A132" s="57"/>
      <c r="B132" s="57"/>
    </row>
    <row r="133" spans="1:2" x14ac:dyDescent="0.2">
      <c r="A133" s="57"/>
      <c r="B133" s="57"/>
    </row>
    <row r="134" spans="1:2" x14ac:dyDescent="0.2">
      <c r="A134" s="57"/>
      <c r="B134" s="57"/>
    </row>
    <row r="135" spans="1:2" x14ac:dyDescent="0.2">
      <c r="A135" s="57"/>
      <c r="B135" s="57"/>
    </row>
    <row r="136" spans="1:2" x14ac:dyDescent="0.2">
      <c r="A136" s="57"/>
      <c r="B136" s="57"/>
    </row>
    <row r="137" spans="1:2" x14ac:dyDescent="0.2">
      <c r="A137" s="57"/>
      <c r="B137" s="57"/>
    </row>
    <row r="138" spans="1:2" x14ac:dyDescent="0.2">
      <c r="A138" s="57"/>
      <c r="B138" s="57"/>
    </row>
    <row r="139" spans="1:2" x14ac:dyDescent="0.2">
      <c r="A139" s="57"/>
      <c r="B139" s="57"/>
    </row>
    <row r="140" spans="1:2" x14ac:dyDescent="0.2">
      <c r="A140" s="57"/>
      <c r="B140" s="57"/>
    </row>
    <row r="141" spans="1:2" x14ac:dyDescent="0.2">
      <c r="A141" s="57"/>
      <c r="B141" s="57"/>
    </row>
    <row r="142" spans="1:2" x14ac:dyDescent="0.2">
      <c r="A142" s="57"/>
      <c r="B142" s="57"/>
    </row>
    <row r="143" spans="1:2" x14ac:dyDescent="0.2">
      <c r="A143" s="57"/>
      <c r="B143" s="57"/>
    </row>
    <row r="144" spans="1:2" x14ac:dyDescent="0.2">
      <c r="A144" s="57"/>
      <c r="B144" s="57"/>
    </row>
    <row r="145" spans="1:2" x14ac:dyDescent="0.2">
      <c r="A145" s="57"/>
      <c r="B145" s="57"/>
    </row>
    <row r="146" spans="1:2" x14ac:dyDescent="0.2">
      <c r="A146" s="57"/>
      <c r="B146" s="57"/>
    </row>
    <row r="147" spans="1:2" x14ac:dyDescent="0.2">
      <c r="A147" s="57"/>
      <c r="B147" s="57"/>
    </row>
    <row r="148" spans="1:2" x14ac:dyDescent="0.2">
      <c r="A148" s="57"/>
      <c r="B148" s="57"/>
    </row>
    <row r="149" spans="1:2" x14ac:dyDescent="0.2">
      <c r="A149" s="57"/>
      <c r="B149" s="57"/>
    </row>
    <row r="150" spans="1:2" x14ac:dyDescent="0.2">
      <c r="A150" s="57"/>
      <c r="B150" s="57"/>
    </row>
    <row r="151" spans="1:2" x14ac:dyDescent="0.2">
      <c r="A151" s="57"/>
      <c r="B151" s="57"/>
    </row>
    <row r="152" spans="1:2" x14ac:dyDescent="0.2">
      <c r="A152" s="57"/>
      <c r="B152" s="57"/>
    </row>
    <row r="153" spans="1:2" x14ac:dyDescent="0.2">
      <c r="A153" s="57"/>
      <c r="B153" s="57"/>
    </row>
    <row r="154" spans="1:2" x14ac:dyDescent="0.2">
      <c r="A154" s="57"/>
      <c r="B154" s="57"/>
    </row>
    <row r="155" spans="1:2" x14ac:dyDescent="0.2">
      <c r="A155" s="57"/>
      <c r="B155" s="57"/>
    </row>
    <row r="156" spans="1:2" x14ac:dyDescent="0.2">
      <c r="A156" s="57"/>
      <c r="B156" s="57"/>
    </row>
    <row r="157" spans="1:2" x14ac:dyDescent="0.2">
      <c r="A157" s="57"/>
      <c r="B157" s="57"/>
    </row>
    <row r="158" spans="1:2" x14ac:dyDescent="0.2">
      <c r="A158" s="57"/>
      <c r="B158" s="57"/>
    </row>
    <row r="159" spans="1:2" x14ac:dyDescent="0.2">
      <c r="A159" s="57"/>
      <c r="B159" s="57"/>
    </row>
    <row r="160" spans="1:2" x14ac:dyDescent="0.2">
      <c r="A160" s="57"/>
      <c r="B160" s="57"/>
    </row>
    <row r="161" spans="1:2" x14ac:dyDescent="0.2">
      <c r="A161" s="57"/>
      <c r="B161" s="57"/>
    </row>
    <row r="162" spans="1:2" x14ac:dyDescent="0.2">
      <c r="A162" s="57"/>
      <c r="B162" s="57"/>
    </row>
    <row r="163" spans="1:2" x14ac:dyDescent="0.2">
      <c r="A163" s="57"/>
      <c r="B163" s="57"/>
    </row>
    <row r="164" spans="1:2" x14ac:dyDescent="0.2">
      <c r="A164" s="57"/>
      <c r="B164" s="57"/>
    </row>
    <row r="165" spans="1:2" x14ac:dyDescent="0.2">
      <c r="A165" s="57"/>
      <c r="B165" s="57"/>
    </row>
    <row r="166" spans="1:2" x14ac:dyDescent="0.2">
      <c r="A166" s="57"/>
      <c r="B166" s="57"/>
    </row>
    <row r="167" spans="1:2" x14ac:dyDescent="0.2">
      <c r="A167" s="57"/>
      <c r="B167" s="57"/>
    </row>
    <row r="168" spans="1:2" x14ac:dyDescent="0.2">
      <c r="A168" s="57"/>
      <c r="B168" s="57"/>
    </row>
    <row r="169" spans="1:2" x14ac:dyDescent="0.2">
      <c r="A169" s="57"/>
      <c r="B169" s="57"/>
    </row>
    <row r="170" spans="1:2" x14ac:dyDescent="0.2">
      <c r="A170" s="57"/>
      <c r="B170" s="57"/>
    </row>
    <row r="171" spans="1:2" x14ac:dyDescent="0.2">
      <c r="A171" s="57"/>
      <c r="B171" s="57"/>
    </row>
    <row r="172" spans="1:2" x14ac:dyDescent="0.2">
      <c r="A172" s="57"/>
      <c r="B172" s="57"/>
    </row>
    <row r="173" spans="1:2" x14ac:dyDescent="0.2">
      <c r="A173" s="57"/>
      <c r="B173" s="57"/>
    </row>
    <row r="174" spans="1:2" x14ac:dyDescent="0.2">
      <c r="A174" s="57"/>
      <c r="B174" s="57"/>
    </row>
    <row r="175" spans="1:2" x14ac:dyDescent="0.2">
      <c r="A175" s="57"/>
      <c r="B175" s="57"/>
    </row>
    <row r="176" spans="1:2" x14ac:dyDescent="0.2">
      <c r="A176" s="57"/>
      <c r="B176" s="57"/>
    </row>
    <row r="177" spans="1:2" x14ac:dyDescent="0.2">
      <c r="A177" s="57"/>
      <c r="B177" s="57"/>
    </row>
    <row r="178" spans="1:2" x14ac:dyDescent="0.2">
      <c r="A178" s="57"/>
      <c r="B178" s="57"/>
    </row>
    <row r="179" spans="1:2" x14ac:dyDescent="0.2">
      <c r="A179" s="57"/>
      <c r="B179" s="57"/>
    </row>
    <row r="180" spans="1:2" x14ac:dyDescent="0.2">
      <c r="A180" s="57"/>
      <c r="B180" s="57"/>
    </row>
    <row r="181" spans="1:2" x14ac:dyDescent="0.2">
      <c r="A181" s="57"/>
      <c r="B181" s="57"/>
    </row>
    <row r="182" spans="1:2" x14ac:dyDescent="0.2">
      <c r="A182" s="57"/>
      <c r="B182" s="57"/>
    </row>
    <row r="183" spans="1:2" x14ac:dyDescent="0.2">
      <c r="A183" s="57"/>
      <c r="B183" s="57"/>
    </row>
    <row r="184" spans="1:2" x14ac:dyDescent="0.2">
      <c r="A184" s="57"/>
      <c r="B184" s="57"/>
    </row>
    <row r="185" spans="1:2" x14ac:dyDescent="0.2">
      <c r="A185" s="57"/>
      <c r="B185" s="57"/>
    </row>
    <row r="186" spans="1:2" x14ac:dyDescent="0.2">
      <c r="A186" s="57"/>
      <c r="B186" s="57"/>
    </row>
    <row r="187" spans="1:2" x14ac:dyDescent="0.2">
      <c r="A187" s="57"/>
      <c r="B187" s="57"/>
    </row>
    <row r="188" spans="1:2" x14ac:dyDescent="0.2">
      <c r="A188" s="57"/>
      <c r="B188" s="57"/>
    </row>
    <row r="189" spans="1:2" x14ac:dyDescent="0.2">
      <c r="A189" s="57"/>
      <c r="B189" s="57"/>
    </row>
    <row r="190" spans="1:2" x14ac:dyDescent="0.2">
      <c r="A190" s="57"/>
      <c r="B190" s="57"/>
    </row>
    <row r="191" spans="1:2" x14ac:dyDescent="0.2">
      <c r="A191" s="57"/>
      <c r="B191" s="57"/>
    </row>
    <row r="192" spans="1:2" x14ac:dyDescent="0.2">
      <c r="A192" s="57"/>
      <c r="B192" s="57"/>
    </row>
    <row r="193" spans="1:2" x14ac:dyDescent="0.2">
      <c r="A193" s="57"/>
      <c r="B193" s="57"/>
    </row>
    <row r="194" spans="1:2" x14ac:dyDescent="0.2">
      <c r="A194" s="57"/>
      <c r="B194" s="57"/>
    </row>
    <row r="195" spans="1:2" x14ac:dyDescent="0.2">
      <c r="A195" s="57"/>
      <c r="B195" s="57"/>
    </row>
    <row r="196" spans="1:2" x14ac:dyDescent="0.2">
      <c r="A196" s="57"/>
      <c r="B196" s="57"/>
    </row>
    <row r="197" spans="1:2" x14ac:dyDescent="0.2">
      <c r="A197" s="57"/>
      <c r="B197" s="57"/>
    </row>
    <row r="198" spans="1:2" x14ac:dyDescent="0.2">
      <c r="A198" s="57"/>
      <c r="B198" s="57"/>
    </row>
    <row r="199" spans="1:2" x14ac:dyDescent="0.2">
      <c r="A199" s="57"/>
      <c r="B199" s="57"/>
    </row>
    <row r="200" spans="1:2" x14ac:dyDescent="0.2">
      <c r="A200" s="57"/>
      <c r="B200" s="57"/>
    </row>
    <row r="201" spans="1:2" x14ac:dyDescent="0.2">
      <c r="A201" s="57"/>
      <c r="B201" s="57"/>
    </row>
    <row r="202" spans="1:2" x14ac:dyDescent="0.2">
      <c r="A202" s="57"/>
      <c r="B202" s="57"/>
    </row>
    <row r="203" spans="1:2" x14ac:dyDescent="0.2">
      <c r="A203" s="57"/>
      <c r="B203" s="57"/>
    </row>
    <row r="204" spans="1:2" x14ac:dyDescent="0.2">
      <c r="A204" s="57"/>
      <c r="B204" s="57"/>
    </row>
    <row r="205" spans="1:2" x14ac:dyDescent="0.2">
      <c r="A205" s="57"/>
      <c r="B205" s="57"/>
    </row>
    <row r="206" spans="1:2" x14ac:dyDescent="0.2">
      <c r="A206" s="57"/>
      <c r="B206" s="57"/>
    </row>
    <row r="207" spans="1:2" x14ac:dyDescent="0.2">
      <c r="A207" s="57"/>
      <c r="B207" s="57"/>
    </row>
    <row r="208" spans="1:2" x14ac:dyDescent="0.2">
      <c r="A208" s="57"/>
      <c r="B208" s="57"/>
    </row>
    <row r="209" spans="1:2" x14ac:dyDescent="0.2">
      <c r="A209" s="57"/>
      <c r="B209" s="57"/>
    </row>
    <row r="210" spans="1:2" x14ac:dyDescent="0.2">
      <c r="A210" s="57"/>
      <c r="B210" s="57"/>
    </row>
    <row r="211" spans="1:2" x14ac:dyDescent="0.2">
      <c r="A211" s="57"/>
      <c r="B211" s="57"/>
    </row>
    <row r="212" spans="1:2" x14ac:dyDescent="0.2">
      <c r="A212" s="57"/>
      <c r="B212" s="57"/>
    </row>
    <row r="213" spans="1:2" x14ac:dyDescent="0.2">
      <c r="A213" s="57"/>
      <c r="B213" s="57"/>
    </row>
    <row r="214" spans="1:2" x14ac:dyDescent="0.2">
      <c r="A214" s="57"/>
      <c r="B214" s="57"/>
    </row>
    <row r="215" spans="1:2" x14ac:dyDescent="0.2">
      <c r="A215" s="57"/>
      <c r="B215" s="57"/>
    </row>
    <row r="216" spans="1:2" x14ac:dyDescent="0.2">
      <c r="A216" s="57"/>
      <c r="B216" s="57"/>
    </row>
    <row r="217" spans="1:2" x14ac:dyDescent="0.2">
      <c r="A217" s="57"/>
      <c r="B217" s="57"/>
    </row>
    <row r="218" spans="1:2" x14ac:dyDescent="0.2">
      <c r="A218" s="57"/>
      <c r="B218" s="57"/>
    </row>
    <row r="219" spans="1:2" x14ac:dyDescent="0.2">
      <c r="A219" s="57"/>
      <c r="B219" s="57"/>
    </row>
    <row r="220" spans="1:2" x14ac:dyDescent="0.2">
      <c r="A220" s="57"/>
      <c r="B220" s="57"/>
    </row>
    <row r="221" spans="1:2" x14ac:dyDescent="0.2">
      <c r="A221" s="57"/>
      <c r="B221" s="57"/>
    </row>
    <row r="222" spans="1:2" x14ac:dyDescent="0.2">
      <c r="A222" s="57"/>
      <c r="B222" s="57"/>
    </row>
    <row r="223" spans="1:2" x14ac:dyDescent="0.2">
      <c r="A223" s="57"/>
      <c r="B223" s="57"/>
    </row>
    <row r="224" spans="1:2" x14ac:dyDescent="0.2">
      <c r="A224" s="57"/>
      <c r="B224" s="57"/>
    </row>
    <row r="225" spans="1:2" x14ac:dyDescent="0.2">
      <c r="A225" s="57"/>
      <c r="B225" s="57"/>
    </row>
    <row r="226" spans="1:2" x14ac:dyDescent="0.2">
      <c r="A226" s="57"/>
      <c r="B226" s="57"/>
    </row>
    <row r="227" spans="1:2" x14ac:dyDescent="0.2">
      <c r="A227" s="57"/>
      <c r="B227" s="57"/>
    </row>
    <row r="228" spans="1:2" x14ac:dyDescent="0.2">
      <c r="A228" s="57"/>
      <c r="B228" s="57"/>
    </row>
    <row r="229" spans="1:2" x14ac:dyDescent="0.2">
      <c r="A229" s="57"/>
      <c r="B229" s="57"/>
    </row>
    <row r="230" spans="1:2" x14ac:dyDescent="0.2">
      <c r="A230" s="57"/>
      <c r="B230" s="57"/>
    </row>
    <row r="231" spans="1:2" x14ac:dyDescent="0.2">
      <c r="A231" s="57"/>
      <c r="B231" s="57"/>
    </row>
    <row r="232" spans="1:2" x14ac:dyDescent="0.2">
      <c r="A232" s="57"/>
      <c r="B232" s="57"/>
    </row>
    <row r="233" spans="1:2" x14ac:dyDescent="0.2">
      <c r="A233" s="57"/>
      <c r="B233" s="57"/>
    </row>
    <row r="234" spans="1:2" x14ac:dyDescent="0.2">
      <c r="A234" s="57"/>
      <c r="B234" s="57"/>
    </row>
    <row r="235" spans="1:2" x14ac:dyDescent="0.2">
      <c r="A235" s="57"/>
      <c r="B235" s="57"/>
    </row>
    <row r="236" spans="1:2" x14ac:dyDescent="0.2">
      <c r="A236" s="57"/>
      <c r="B236" s="57"/>
    </row>
    <row r="237" spans="1:2" x14ac:dyDescent="0.2">
      <c r="A237" s="57"/>
      <c r="B237" s="57"/>
    </row>
    <row r="238" spans="1:2" x14ac:dyDescent="0.2">
      <c r="A238" s="57"/>
      <c r="B238" s="57"/>
    </row>
    <row r="239" spans="1:2" x14ac:dyDescent="0.2">
      <c r="A239" s="57"/>
      <c r="B239" s="57"/>
    </row>
    <row r="240" spans="1:2" x14ac:dyDescent="0.2">
      <c r="A240" s="57"/>
      <c r="B240" s="57"/>
    </row>
    <row r="241" spans="1:2" x14ac:dyDescent="0.2">
      <c r="A241" s="57"/>
      <c r="B241" s="57"/>
    </row>
    <row r="242" spans="1:2" x14ac:dyDescent="0.2">
      <c r="A242" s="57"/>
      <c r="B242" s="57"/>
    </row>
    <row r="243" spans="1:2" x14ac:dyDescent="0.2">
      <c r="A243" s="57"/>
      <c r="B243" s="57"/>
    </row>
    <row r="244" spans="1:2" x14ac:dyDescent="0.2">
      <c r="A244" s="57"/>
      <c r="B244" s="57"/>
    </row>
    <row r="245" spans="1:2" x14ac:dyDescent="0.2">
      <c r="A245" s="57"/>
      <c r="B245" s="57"/>
    </row>
    <row r="246" spans="1:2" x14ac:dyDescent="0.2">
      <c r="A246" s="57"/>
      <c r="B246" s="57"/>
    </row>
    <row r="247" spans="1:2" x14ac:dyDescent="0.2">
      <c r="A247" s="57"/>
      <c r="B247" s="57"/>
    </row>
    <row r="248" spans="1:2" x14ac:dyDescent="0.2">
      <c r="A248" s="57"/>
      <c r="B248" s="57"/>
    </row>
    <row r="249" spans="1:2" x14ac:dyDescent="0.2">
      <c r="A249" s="57"/>
      <c r="B249" s="57"/>
    </row>
    <row r="250" spans="1:2" x14ac:dyDescent="0.2">
      <c r="A250" s="57"/>
      <c r="B250" s="57"/>
    </row>
    <row r="251" spans="1:2" x14ac:dyDescent="0.2">
      <c r="A251" s="57"/>
      <c r="B251" s="57"/>
    </row>
    <row r="252" spans="1:2" x14ac:dyDescent="0.2">
      <c r="A252" s="57"/>
      <c r="B252" s="57"/>
    </row>
    <row r="253" spans="1:2" x14ac:dyDescent="0.2">
      <c r="A253" s="57"/>
      <c r="B253" s="57"/>
    </row>
    <row r="254" spans="1:2" x14ac:dyDescent="0.2">
      <c r="A254" s="57"/>
      <c r="B254" s="57"/>
    </row>
    <row r="255" spans="1:2" x14ac:dyDescent="0.2">
      <c r="A255" s="57"/>
      <c r="B255" s="57"/>
    </row>
    <row r="256" spans="1:2" x14ac:dyDescent="0.2">
      <c r="A256" s="57"/>
      <c r="B256" s="57"/>
    </row>
    <row r="257" spans="1:2" x14ac:dyDescent="0.2">
      <c r="A257" s="57"/>
      <c r="B257" s="57"/>
    </row>
    <row r="258" spans="1:2" x14ac:dyDescent="0.2">
      <c r="A258" s="57"/>
      <c r="B258" s="57"/>
    </row>
    <row r="259" spans="1:2" x14ac:dyDescent="0.2">
      <c r="A259" s="57"/>
      <c r="B259" s="57"/>
    </row>
    <row r="260" spans="1:2" x14ac:dyDescent="0.2">
      <c r="A260" s="57"/>
      <c r="B260" s="57"/>
    </row>
    <row r="261" spans="1:2" x14ac:dyDescent="0.2">
      <c r="A261" s="57"/>
      <c r="B261" s="57"/>
    </row>
    <row r="262" spans="1:2" x14ac:dyDescent="0.2">
      <c r="A262" s="57"/>
      <c r="B262" s="57"/>
    </row>
    <row r="263" spans="1:2" x14ac:dyDescent="0.2">
      <c r="A263" s="57"/>
      <c r="B263" s="57"/>
    </row>
    <row r="264" spans="1:2" x14ac:dyDescent="0.2">
      <c r="A264" s="57"/>
      <c r="B264" s="57"/>
    </row>
    <row r="265" spans="1:2" x14ac:dyDescent="0.2">
      <c r="A265" s="57"/>
      <c r="B265" s="57"/>
    </row>
    <row r="266" spans="1:2" x14ac:dyDescent="0.2">
      <c r="A266" s="57"/>
      <c r="B266" s="57"/>
    </row>
    <row r="267" spans="1:2" x14ac:dyDescent="0.2">
      <c r="A267" s="57"/>
      <c r="B267" s="57"/>
    </row>
    <row r="268" spans="1:2" x14ac:dyDescent="0.2">
      <c r="A268" s="57"/>
      <c r="B268" s="57"/>
    </row>
    <row r="269" spans="1:2" x14ac:dyDescent="0.2">
      <c r="A269" s="57"/>
      <c r="B269" s="57"/>
    </row>
    <row r="270" spans="1:2" x14ac:dyDescent="0.2">
      <c r="A270" s="57"/>
      <c r="B270" s="57"/>
    </row>
    <row r="271" spans="1:2" x14ac:dyDescent="0.2">
      <c r="A271" s="57"/>
      <c r="B271" s="57"/>
    </row>
    <row r="272" spans="1:2" x14ac:dyDescent="0.2">
      <c r="A272" s="57"/>
      <c r="B272" s="57"/>
    </row>
    <row r="273" spans="1:2" x14ac:dyDescent="0.2">
      <c r="A273" s="57"/>
      <c r="B273" s="57"/>
    </row>
    <row r="274" spans="1:2" x14ac:dyDescent="0.2">
      <c r="A274" s="57"/>
      <c r="B274" s="57"/>
    </row>
    <row r="275" spans="1:2" x14ac:dyDescent="0.2">
      <c r="A275" s="57"/>
      <c r="B275" s="57"/>
    </row>
    <row r="276" spans="1:2" x14ac:dyDescent="0.2">
      <c r="A276" s="57"/>
      <c r="B276" s="57"/>
    </row>
    <row r="277" spans="1:2" x14ac:dyDescent="0.2">
      <c r="A277" s="57"/>
      <c r="B277" s="57"/>
    </row>
    <row r="278" spans="1:2" x14ac:dyDescent="0.2">
      <c r="A278" s="57"/>
      <c r="B278" s="57"/>
    </row>
    <row r="279" spans="1:2" x14ac:dyDescent="0.2">
      <c r="A279" s="57"/>
      <c r="B279" s="57"/>
    </row>
    <row r="280" spans="1:2" x14ac:dyDescent="0.2">
      <c r="A280" s="57"/>
      <c r="B280" s="57"/>
    </row>
    <row r="281" spans="1:2" x14ac:dyDescent="0.2">
      <c r="A281" s="57"/>
      <c r="B281" s="57"/>
    </row>
    <row r="282" spans="1:2" x14ac:dyDescent="0.2">
      <c r="A282" s="57"/>
      <c r="B282" s="57"/>
    </row>
    <row r="283" spans="1:2" x14ac:dyDescent="0.2">
      <c r="A283" s="57"/>
      <c r="B283" s="57"/>
    </row>
    <row r="284" spans="1:2" x14ac:dyDescent="0.2">
      <c r="A284" s="57"/>
      <c r="B284" s="57"/>
    </row>
    <row r="285" spans="1:2" x14ac:dyDescent="0.2">
      <c r="A285" s="57"/>
      <c r="B285" s="57"/>
    </row>
    <row r="286" spans="1:2" x14ac:dyDescent="0.2">
      <c r="A286" s="57"/>
      <c r="B286" s="57"/>
    </row>
    <row r="287" spans="1:2" x14ac:dyDescent="0.2">
      <c r="A287" s="57"/>
      <c r="B287" s="57"/>
    </row>
    <row r="288" spans="1:2" x14ac:dyDescent="0.2">
      <c r="A288" s="57"/>
      <c r="B288" s="57"/>
    </row>
    <row r="289" spans="1:2" x14ac:dyDescent="0.2">
      <c r="A289" s="57"/>
      <c r="B289" s="57"/>
    </row>
    <row r="290" spans="1:2" x14ac:dyDescent="0.2">
      <c r="A290" s="57"/>
      <c r="B290" s="57"/>
    </row>
    <row r="291" spans="1:2" x14ac:dyDescent="0.2">
      <c r="A291" s="57"/>
      <c r="B291" s="57"/>
    </row>
    <row r="292" spans="1:2" x14ac:dyDescent="0.2">
      <c r="A292" s="57"/>
      <c r="B292" s="57"/>
    </row>
    <row r="293" spans="1:2" x14ac:dyDescent="0.2">
      <c r="A293" s="57"/>
      <c r="B293" s="57"/>
    </row>
    <row r="294" spans="1:2" x14ac:dyDescent="0.2">
      <c r="A294" s="57"/>
      <c r="B294" s="57"/>
    </row>
    <row r="295" spans="1:2" x14ac:dyDescent="0.2">
      <c r="A295" s="57"/>
      <c r="B295" s="57"/>
    </row>
    <row r="296" spans="1:2" x14ac:dyDescent="0.2">
      <c r="A296" s="57"/>
      <c r="B296" s="57"/>
    </row>
    <row r="297" spans="1:2" x14ac:dyDescent="0.2">
      <c r="A297" s="57"/>
      <c r="B297" s="57"/>
    </row>
    <row r="298" spans="1:2" x14ac:dyDescent="0.2">
      <c r="A298" s="57"/>
      <c r="B298" s="57"/>
    </row>
    <row r="299" spans="1:2" x14ac:dyDescent="0.2">
      <c r="A299" s="57"/>
      <c r="B299" s="57"/>
    </row>
    <row r="300" spans="1:2" x14ac:dyDescent="0.2">
      <c r="A300" s="57"/>
      <c r="B300" s="57"/>
    </row>
    <row r="301" spans="1:2" x14ac:dyDescent="0.2">
      <c r="A301" s="57"/>
      <c r="B301" s="57"/>
    </row>
    <row r="302" spans="1:2" x14ac:dyDescent="0.2">
      <c r="A302" s="57"/>
      <c r="B302" s="57"/>
    </row>
    <row r="303" spans="1:2" x14ac:dyDescent="0.2">
      <c r="A303" s="57"/>
      <c r="B303" s="57"/>
    </row>
    <row r="304" spans="1:2" x14ac:dyDescent="0.2">
      <c r="A304" s="57"/>
      <c r="B304" s="57"/>
    </row>
    <row r="305" spans="1:2" x14ac:dyDescent="0.2">
      <c r="A305" s="57"/>
      <c r="B305" s="57"/>
    </row>
    <row r="306" spans="1:2" x14ac:dyDescent="0.2">
      <c r="A306" s="57"/>
      <c r="B306" s="57"/>
    </row>
    <row r="307" spans="1:2" x14ac:dyDescent="0.2">
      <c r="A307" s="57"/>
      <c r="B307" s="57"/>
    </row>
    <row r="308" spans="1:2" x14ac:dyDescent="0.2">
      <c r="A308" s="57"/>
      <c r="B308" s="57"/>
    </row>
    <row r="309" spans="1:2" x14ac:dyDescent="0.2">
      <c r="A309" s="57"/>
      <c r="B309" s="57"/>
    </row>
    <row r="310" spans="1:2" x14ac:dyDescent="0.2">
      <c r="A310" s="57"/>
      <c r="B310" s="57"/>
    </row>
    <row r="311" spans="1:2" x14ac:dyDescent="0.2">
      <c r="A311" s="57"/>
      <c r="B311" s="57"/>
    </row>
    <row r="312" spans="1:2" x14ac:dyDescent="0.2">
      <c r="A312" s="57"/>
      <c r="B312" s="57"/>
    </row>
    <row r="313" spans="1:2" x14ac:dyDescent="0.2">
      <c r="A313" s="57"/>
      <c r="B313" s="57"/>
    </row>
    <row r="314" spans="1:2" x14ac:dyDescent="0.2">
      <c r="A314" s="57"/>
      <c r="B314" s="57"/>
    </row>
    <row r="315" spans="1:2" x14ac:dyDescent="0.2">
      <c r="A315" s="57"/>
      <c r="B315" s="57"/>
    </row>
    <row r="316" spans="1:2" x14ac:dyDescent="0.2">
      <c r="A316" s="57"/>
      <c r="B316" s="57"/>
    </row>
    <row r="317" spans="1:2" x14ac:dyDescent="0.2">
      <c r="A317" s="57"/>
      <c r="B317" s="57"/>
    </row>
    <row r="318" spans="1:2" x14ac:dyDescent="0.2">
      <c r="A318" s="57"/>
      <c r="B318" s="57"/>
    </row>
    <row r="319" spans="1:2" x14ac:dyDescent="0.2">
      <c r="A319" s="57"/>
      <c r="B319" s="57"/>
    </row>
    <row r="320" spans="1:2" x14ac:dyDescent="0.2">
      <c r="A320" s="57"/>
      <c r="B320" s="57"/>
    </row>
    <row r="321" spans="1:2" x14ac:dyDescent="0.2">
      <c r="A321" s="57"/>
      <c r="B321" s="57"/>
    </row>
    <row r="322" spans="1:2" x14ac:dyDescent="0.2">
      <c r="A322" s="57"/>
      <c r="B322" s="57"/>
    </row>
    <row r="323" spans="1:2" x14ac:dyDescent="0.2">
      <c r="A323" s="57"/>
      <c r="B323" s="57"/>
    </row>
    <row r="324" spans="1:2" x14ac:dyDescent="0.2">
      <c r="A324" s="57"/>
      <c r="B324" s="57"/>
    </row>
    <row r="325" spans="1:2" x14ac:dyDescent="0.2">
      <c r="A325" s="57"/>
      <c r="B325" s="57"/>
    </row>
    <row r="326" spans="1:2" x14ac:dyDescent="0.2">
      <c r="A326" s="57"/>
      <c r="B326" s="57"/>
    </row>
    <row r="327" spans="1:2" x14ac:dyDescent="0.2">
      <c r="A327" s="57"/>
      <c r="B327" s="57"/>
    </row>
    <row r="328" spans="1:2" x14ac:dyDescent="0.2">
      <c r="A328" s="57"/>
      <c r="B328" s="57"/>
    </row>
    <row r="329" spans="1:2" x14ac:dyDescent="0.2">
      <c r="A329" s="57"/>
      <c r="B329" s="57"/>
    </row>
    <row r="330" spans="1:2" x14ac:dyDescent="0.2">
      <c r="A330" s="57"/>
      <c r="B330" s="57"/>
    </row>
    <row r="331" spans="1:2" x14ac:dyDescent="0.2">
      <c r="A331" s="57"/>
      <c r="B331" s="57"/>
    </row>
    <row r="332" spans="1:2" x14ac:dyDescent="0.2">
      <c r="A332" s="57"/>
      <c r="B332" s="57"/>
    </row>
    <row r="333" spans="1:2" x14ac:dyDescent="0.2">
      <c r="A333" s="57"/>
      <c r="B333" s="57"/>
    </row>
    <row r="334" spans="1:2" x14ac:dyDescent="0.2">
      <c r="A334" s="57"/>
      <c r="B334" s="57"/>
    </row>
    <row r="335" spans="1:2" x14ac:dyDescent="0.2">
      <c r="A335" s="57"/>
      <c r="B335" s="57"/>
    </row>
    <row r="336" spans="1:2" x14ac:dyDescent="0.2">
      <c r="A336" s="57"/>
      <c r="B336" s="57"/>
    </row>
    <row r="337" spans="1:2" x14ac:dyDescent="0.2">
      <c r="A337" s="57"/>
      <c r="B337" s="57"/>
    </row>
    <row r="338" spans="1:2" x14ac:dyDescent="0.2">
      <c r="A338" s="57"/>
      <c r="B338" s="57"/>
    </row>
    <row r="339" spans="1:2" x14ac:dyDescent="0.2">
      <c r="A339" s="57"/>
      <c r="B339" s="57"/>
    </row>
    <row r="340" spans="1:2" x14ac:dyDescent="0.2">
      <c r="A340" s="57"/>
      <c r="B340" s="57"/>
    </row>
    <row r="341" spans="1:2" x14ac:dyDescent="0.2">
      <c r="A341" s="57"/>
      <c r="B341" s="57"/>
    </row>
    <row r="342" spans="1:2" x14ac:dyDescent="0.2">
      <c r="A342" s="57"/>
      <c r="B342" s="57"/>
    </row>
    <row r="343" spans="1:2" x14ac:dyDescent="0.2">
      <c r="A343" s="57"/>
      <c r="B343" s="57"/>
    </row>
    <row r="344" spans="1:2" x14ac:dyDescent="0.2">
      <c r="A344" s="57"/>
      <c r="B344" s="57"/>
    </row>
    <row r="345" spans="1:2" x14ac:dyDescent="0.2">
      <c r="A345" s="57"/>
      <c r="B345" s="57"/>
    </row>
    <row r="346" spans="1:2" x14ac:dyDescent="0.2">
      <c r="A346" s="57"/>
      <c r="B346" s="57"/>
    </row>
    <row r="347" spans="1:2" x14ac:dyDescent="0.2">
      <c r="A347" s="57"/>
      <c r="B347" s="57"/>
    </row>
    <row r="348" spans="1:2" x14ac:dyDescent="0.2">
      <c r="A348" s="57"/>
      <c r="B348" s="57"/>
    </row>
    <row r="349" spans="1:2" x14ac:dyDescent="0.2">
      <c r="A349" s="57"/>
      <c r="B349" s="57"/>
    </row>
    <row r="350" spans="1:2" x14ac:dyDescent="0.2">
      <c r="A350" s="57"/>
      <c r="B350" s="57"/>
    </row>
    <row r="351" spans="1:2" x14ac:dyDescent="0.2">
      <c r="A351" s="57"/>
      <c r="B351" s="57"/>
    </row>
    <row r="352" spans="1:2" x14ac:dyDescent="0.2">
      <c r="A352" s="57"/>
      <c r="B352" s="57"/>
    </row>
    <row r="353" spans="1:2" x14ac:dyDescent="0.2">
      <c r="A353" s="57"/>
      <c r="B353" s="57"/>
    </row>
    <row r="354" spans="1:2" x14ac:dyDescent="0.2">
      <c r="A354" s="57"/>
      <c r="B354" s="57"/>
    </row>
    <row r="355" spans="1:2" x14ac:dyDescent="0.2">
      <c r="A355" s="57"/>
      <c r="B355" s="57"/>
    </row>
    <row r="356" spans="1:2" x14ac:dyDescent="0.2">
      <c r="A356" s="57"/>
      <c r="B356" s="57"/>
    </row>
    <row r="357" spans="1:2" x14ac:dyDescent="0.2">
      <c r="A357" s="57"/>
      <c r="B357" s="57"/>
    </row>
    <row r="358" spans="1:2" x14ac:dyDescent="0.2">
      <c r="A358" s="57"/>
      <c r="B358" s="57"/>
    </row>
    <row r="359" spans="1:2" x14ac:dyDescent="0.2">
      <c r="A359" s="57"/>
      <c r="B359" s="57"/>
    </row>
    <row r="360" spans="1:2" x14ac:dyDescent="0.2">
      <c r="A360" s="57"/>
      <c r="B360" s="57"/>
    </row>
    <row r="361" spans="1:2" x14ac:dyDescent="0.2">
      <c r="A361" s="57"/>
      <c r="B361" s="57"/>
    </row>
    <row r="362" spans="1:2" x14ac:dyDescent="0.2">
      <c r="A362" s="57"/>
      <c r="B362" s="57"/>
    </row>
    <row r="363" spans="1:2" x14ac:dyDescent="0.2">
      <c r="A363" s="57"/>
      <c r="B363" s="57"/>
    </row>
    <row r="364" spans="1:2" x14ac:dyDescent="0.2">
      <c r="A364" s="57"/>
      <c r="B364" s="57"/>
    </row>
    <row r="365" spans="1:2" x14ac:dyDescent="0.2">
      <c r="A365" s="57"/>
      <c r="B365" s="57"/>
    </row>
    <row r="366" spans="1:2" x14ac:dyDescent="0.2">
      <c r="A366" s="57"/>
      <c r="B366" s="57"/>
    </row>
    <row r="367" spans="1:2" x14ac:dyDescent="0.2">
      <c r="A367" s="57"/>
      <c r="B367" s="57"/>
    </row>
    <row r="368" spans="1:2" x14ac:dyDescent="0.2">
      <c r="A368" s="57"/>
      <c r="B368" s="57"/>
    </row>
    <row r="369" spans="1:2" x14ac:dyDescent="0.2">
      <c r="A369" s="57"/>
      <c r="B369" s="57"/>
    </row>
    <row r="370" spans="1:2" x14ac:dyDescent="0.2">
      <c r="A370" s="57"/>
      <c r="B370" s="57"/>
    </row>
    <row r="371" spans="1:2" x14ac:dyDescent="0.2">
      <c r="A371" s="57"/>
      <c r="B371" s="57"/>
    </row>
    <row r="372" spans="1:2" x14ac:dyDescent="0.2">
      <c r="A372" s="57"/>
      <c r="B372" s="57"/>
    </row>
    <row r="373" spans="1:2" x14ac:dyDescent="0.2">
      <c r="A373" s="57"/>
      <c r="B373" s="57"/>
    </row>
    <row r="374" spans="1:2" x14ac:dyDescent="0.2">
      <c r="A374" s="57"/>
      <c r="B374" s="57"/>
    </row>
    <row r="375" spans="1:2" x14ac:dyDescent="0.2">
      <c r="A375" s="57"/>
      <c r="B375" s="57"/>
    </row>
    <row r="376" spans="1:2" x14ac:dyDescent="0.2">
      <c r="A376" s="57"/>
      <c r="B376" s="57"/>
    </row>
    <row r="377" spans="1:2" x14ac:dyDescent="0.2">
      <c r="A377" s="57"/>
      <c r="B377" s="57"/>
    </row>
    <row r="378" spans="1:2" x14ac:dyDescent="0.2">
      <c r="A378" s="57"/>
      <c r="B378" s="57"/>
    </row>
    <row r="379" spans="1:2" x14ac:dyDescent="0.2">
      <c r="A379" s="57"/>
      <c r="B379" s="57"/>
    </row>
    <row r="380" spans="1:2" x14ac:dyDescent="0.2">
      <c r="A380" s="57"/>
      <c r="B380" s="57"/>
    </row>
    <row r="381" spans="1:2" x14ac:dyDescent="0.2">
      <c r="A381" s="57"/>
      <c r="B381" s="57"/>
    </row>
    <row r="382" spans="1:2" x14ac:dyDescent="0.2">
      <c r="A382" s="57"/>
      <c r="B382" s="57"/>
    </row>
    <row r="383" spans="1:2" x14ac:dyDescent="0.2">
      <c r="A383" s="57"/>
      <c r="B383" s="57"/>
    </row>
    <row r="384" spans="1:2" x14ac:dyDescent="0.2">
      <c r="A384" s="57"/>
      <c r="B384" s="57"/>
    </row>
    <row r="385" spans="1:2" x14ac:dyDescent="0.2">
      <c r="A385" s="57"/>
      <c r="B385" s="57"/>
    </row>
    <row r="386" spans="1:2" x14ac:dyDescent="0.2">
      <c r="A386" s="57"/>
      <c r="B386" s="57"/>
    </row>
    <row r="387" spans="1:2" x14ac:dyDescent="0.2">
      <c r="A387" s="57"/>
      <c r="B387" s="57"/>
    </row>
    <row r="388" spans="1:2" x14ac:dyDescent="0.2">
      <c r="A388" s="57"/>
      <c r="B388" s="57"/>
    </row>
    <row r="389" spans="1:2" x14ac:dyDescent="0.2">
      <c r="A389" s="57"/>
      <c r="B389" s="57"/>
    </row>
    <row r="390" spans="1:2" x14ac:dyDescent="0.2">
      <c r="A390" s="57"/>
      <c r="B390" s="57"/>
    </row>
    <row r="391" spans="1:2" x14ac:dyDescent="0.2">
      <c r="A391" s="57"/>
      <c r="B391" s="57"/>
    </row>
    <row r="392" spans="1:2" x14ac:dyDescent="0.2">
      <c r="A392" s="57"/>
      <c r="B392" s="57"/>
    </row>
    <row r="393" spans="1:2" x14ac:dyDescent="0.2">
      <c r="A393" s="57"/>
      <c r="B393" s="57"/>
    </row>
    <row r="394" spans="1:2" x14ac:dyDescent="0.2">
      <c r="A394" s="57"/>
      <c r="B394" s="57"/>
    </row>
    <row r="395" spans="1:2" x14ac:dyDescent="0.2">
      <c r="A395" s="57"/>
      <c r="B395" s="57"/>
    </row>
    <row r="396" spans="1:2" x14ac:dyDescent="0.2">
      <c r="A396" s="57"/>
      <c r="B396" s="57"/>
    </row>
    <row r="397" spans="1:2" x14ac:dyDescent="0.2">
      <c r="A397" s="57"/>
      <c r="B397" s="57"/>
    </row>
    <row r="398" spans="1:2" x14ac:dyDescent="0.2">
      <c r="A398" s="57"/>
      <c r="B398" s="57"/>
    </row>
    <row r="399" spans="1:2" x14ac:dyDescent="0.2">
      <c r="A399" s="57"/>
      <c r="B399" s="57"/>
    </row>
    <row r="400" spans="1:2" x14ac:dyDescent="0.2">
      <c r="A400" s="57"/>
      <c r="B400" s="57"/>
    </row>
    <row r="401" spans="1:2" x14ac:dyDescent="0.2">
      <c r="A401" s="57"/>
      <c r="B401" s="57"/>
    </row>
    <row r="402" spans="1:2" x14ac:dyDescent="0.2">
      <c r="A402" s="57"/>
      <c r="B402" s="57"/>
    </row>
    <row r="403" spans="1:2" x14ac:dyDescent="0.2">
      <c r="A403" s="57"/>
      <c r="B403" s="57"/>
    </row>
    <row r="404" spans="1:2" x14ac:dyDescent="0.2">
      <c r="A404" s="57"/>
      <c r="B404" s="57"/>
    </row>
    <row r="405" spans="1:2" x14ac:dyDescent="0.2">
      <c r="A405" s="57"/>
      <c r="B405" s="57"/>
    </row>
    <row r="406" spans="1:2" x14ac:dyDescent="0.2">
      <c r="A406" s="57"/>
      <c r="B406" s="57"/>
    </row>
    <row r="407" spans="1:2" x14ac:dyDescent="0.2">
      <c r="A407" s="57"/>
      <c r="B407" s="57"/>
    </row>
    <row r="408" spans="1:2" x14ac:dyDescent="0.2">
      <c r="A408" s="57"/>
      <c r="B408" s="57"/>
    </row>
    <row r="409" spans="1:2" x14ac:dyDescent="0.2">
      <c r="A409" s="57"/>
      <c r="B409" s="57"/>
    </row>
    <row r="410" spans="1:2" x14ac:dyDescent="0.2">
      <c r="A410" s="57"/>
      <c r="B410" s="57"/>
    </row>
    <row r="411" spans="1:2" x14ac:dyDescent="0.2">
      <c r="A411" s="57"/>
      <c r="B411" s="57"/>
    </row>
    <row r="412" spans="1:2" x14ac:dyDescent="0.2">
      <c r="A412" s="57"/>
      <c r="B412" s="57"/>
    </row>
    <row r="413" spans="1:2" x14ac:dyDescent="0.2">
      <c r="A413" s="57"/>
      <c r="B413" s="57"/>
    </row>
    <row r="414" spans="1:2" x14ac:dyDescent="0.2">
      <c r="A414" s="57"/>
      <c r="B414" s="57"/>
    </row>
    <row r="415" spans="1:2" x14ac:dyDescent="0.2">
      <c r="A415" s="57"/>
      <c r="B415" s="57"/>
    </row>
    <row r="416" spans="1:2" x14ac:dyDescent="0.2">
      <c r="A416" s="57"/>
      <c r="B416" s="57"/>
    </row>
    <row r="417" spans="1:2" x14ac:dyDescent="0.2">
      <c r="A417" s="57"/>
      <c r="B417" s="57"/>
    </row>
    <row r="418" spans="1:2" x14ac:dyDescent="0.2">
      <c r="A418" s="57"/>
      <c r="B418" s="57"/>
    </row>
    <row r="419" spans="1:2" x14ac:dyDescent="0.2">
      <c r="A419" s="57"/>
      <c r="B419" s="57"/>
    </row>
    <row r="420" spans="1:2" x14ac:dyDescent="0.2">
      <c r="A420" s="57"/>
      <c r="B420" s="57"/>
    </row>
    <row r="421" spans="1:2" x14ac:dyDescent="0.2">
      <c r="A421" s="57"/>
      <c r="B421" s="57"/>
    </row>
    <row r="422" spans="1:2" x14ac:dyDescent="0.2">
      <c r="A422" s="57"/>
      <c r="B422" s="57"/>
    </row>
    <row r="423" spans="1:2" x14ac:dyDescent="0.2">
      <c r="A423" s="57"/>
      <c r="B423" s="57"/>
    </row>
    <row r="424" spans="1:2" x14ac:dyDescent="0.2">
      <c r="A424" s="57"/>
      <c r="B424" s="57"/>
    </row>
    <row r="425" spans="1:2" x14ac:dyDescent="0.2">
      <c r="A425" s="57"/>
      <c r="B425" s="57"/>
    </row>
    <row r="426" spans="1:2" x14ac:dyDescent="0.2">
      <c r="A426" s="57"/>
      <c r="B426" s="57"/>
    </row>
    <row r="427" spans="1:2" x14ac:dyDescent="0.2">
      <c r="A427" s="57"/>
      <c r="B427" s="57"/>
    </row>
    <row r="428" spans="1:2" x14ac:dyDescent="0.2">
      <c r="A428" s="57"/>
      <c r="B428" s="57"/>
    </row>
    <row r="429" spans="1:2" x14ac:dyDescent="0.2">
      <c r="A429" s="57"/>
      <c r="B429" s="57"/>
    </row>
    <row r="430" spans="1:2" x14ac:dyDescent="0.2">
      <c r="A430" s="57"/>
      <c r="B430" s="57"/>
    </row>
    <row r="431" spans="1:2" x14ac:dyDescent="0.2">
      <c r="A431" s="57"/>
      <c r="B431" s="57"/>
    </row>
    <row r="432" spans="1:2" x14ac:dyDescent="0.2">
      <c r="A432" s="57"/>
      <c r="B432" s="57"/>
    </row>
    <row r="433" spans="1:2" x14ac:dyDescent="0.2">
      <c r="A433" s="57"/>
      <c r="B433" s="57"/>
    </row>
    <row r="434" spans="1:2" x14ac:dyDescent="0.2">
      <c r="A434" s="57"/>
      <c r="B434" s="57"/>
    </row>
    <row r="435" spans="1:2" x14ac:dyDescent="0.2">
      <c r="A435" s="57"/>
      <c r="B435" s="57"/>
    </row>
    <row r="436" spans="1:2" x14ac:dyDescent="0.2">
      <c r="A436" s="57"/>
      <c r="B436" s="57"/>
    </row>
    <row r="437" spans="1:2" x14ac:dyDescent="0.2">
      <c r="A437" s="57"/>
      <c r="B437" s="57"/>
    </row>
    <row r="438" spans="1:2" x14ac:dyDescent="0.2">
      <c r="A438" s="57"/>
      <c r="B438" s="57"/>
    </row>
    <row r="439" spans="1:2" x14ac:dyDescent="0.2">
      <c r="A439" s="57"/>
      <c r="B439" s="57"/>
    </row>
    <row r="440" spans="1:2" x14ac:dyDescent="0.2">
      <c r="A440" s="57"/>
      <c r="B440" s="57"/>
    </row>
    <row r="441" spans="1:2" x14ac:dyDescent="0.2">
      <c r="A441" s="57"/>
      <c r="B441" s="57"/>
    </row>
    <row r="442" spans="1:2" x14ac:dyDescent="0.2">
      <c r="A442" s="57"/>
      <c r="B442" s="57"/>
    </row>
    <row r="443" spans="1:2" x14ac:dyDescent="0.2">
      <c r="A443" s="57"/>
      <c r="B443" s="57"/>
    </row>
    <row r="444" spans="1:2" x14ac:dyDescent="0.2">
      <c r="A444" s="57"/>
      <c r="B444" s="57"/>
    </row>
    <row r="445" spans="1:2" x14ac:dyDescent="0.2">
      <c r="A445" s="57"/>
      <c r="B445" s="57"/>
    </row>
    <row r="446" spans="1:2" x14ac:dyDescent="0.2">
      <c r="A446" s="57"/>
      <c r="B446" s="57"/>
    </row>
    <row r="447" spans="1:2" x14ac:dyDescent="0.2">
      <c r="A447" s="57"/>
      <c r="B447" s="57"/>
    </row>
    <row r="448" spans="1:2" x14ac:dyDescent="0.2">
      <c r="A448" s="57"/>
      <c r="B448" s="57"/>
    </row>
    <row r="449" spans="1:2" x14ac:dyDescent="0.2">
      <c r="A449" s="57"/>
      <c r="B449" s="57"/>
    </row>
    <row r="450" spans="1:2" x14ac:dyDescent="0.2">
      <c r="A450" s="57"/>
      <c r="B450" s="57"/>
    </row>
    <row r="451" spans="1:2" x14ac:dyDescent="0.2">
      <c r="A451" s="57"/>
      <c r="B451" s="57"/>
    </row>
    <row r="452" spans="1:2" x14ac:dyDescent="0.2">
      <c r="A452" s="57"/>
      <c r="B452" s="57"/>
    </row>
    <row r="453" spans="1:2" x14ac:dyDescent="0.2">
      <c r="A453" s="57"/>
      <c r="B453" s="57"/>
    </row>
    <row r="454" spans="1:2" x14ac:dyDescent="0.2">
      <c r="A454" s="57"/>
      <c r="B454" s="57"/>
    </row>
    <row r="455" spans="1:2" x14ac:dyDescent="0.2">
      <c r="A455" s="57"/>
      <c r="B455" s="57"/>
    </row>
    <row r="456" spans="1:2" x14ac:dyDescent="0.2">
      <c r="A456" s="57"/>
      <c r="B456" s="57"/>
    </row>
    <row r="457" spans="1:2" x14ac:dyDescent="0.2">
      <c r="A457" s="57"/>
      <c r="B457" s="57"/>
    </row>
    <row r="458" spans="1:2" x14ac:dyDescent="0.2">
      <c r="A458" s="57"/>
      <c r="B458" s="57"/>
    </row>
    <row r="459" spans="1:2" x14ac:dyDescent="0.2">
      <c r="A459" s="57"/>
      <c r="B459" s="57"/>
    </row>
    <row r="460" spans="1:2" x14ac:dyDescent="0.2">
      <c r="A460" s="57"/>
      <c r="B460" s="57"/>
    </row>
    <row r="461" spans="1:2" x14ac:dyDescent="0.2">
      <c r="A461" s="57"/>
      <c r="B461" s="57"/>
    </row>
    <row r="462" spans="1:2" x14ac:dyDescent="0.2">
      <c r="A462" s="57"/>
      <c r="B462" s="57"/>
    </row>
    <row r="463" spans="1:2" x14ac:dyDescent="0.2">
      <c r="A463" s="57"/>
      <c r="B463" s="57"/>
    </row>
    <row r="464" spans="1:2" x14ac:dyDescent="0.2">
      <c r="A464" s="57"/>
      <c r="B464" s="57"/>
    </row>
    <row r="465" spans="1:2" x14ac:dyDescent="0.2">
      <c r="A465" s="57"/>
      <c r="B465" s="57"/>
    </row>
    <row r="466" spans="1:2" x14ac:dyDescent="0.2">
      <c r="A466" s="57"/>
      <c r="B466" s="57"/>
    </row>
    <row r="467" spans="1:2" x14ac:dyDescent="0.2">
      <c r="A467" s="57"/>
      <c r="B467" s="57"/>
    </row>
    <row r="468" spans="1:2" x14ac:dyDescent="0.2">
      <c r="A468" s="57"/>
      <c r="B468" s="57"/>
    </row>
    <row r="469" spans="1:2" x14ac:dyDescent="0.2">
      <c r="A469" s="57"/>
      <c r="B469" s="57"/>
    </row>
    <row r="470" spans="1:2" x14ac:dyDescent="0.2">
      <c r="A470" s="57"/>
      <c r="B470" s="57"/>
    </row>
    <row r="471" spans="1:2" x14ac:dyDescent="0.2">
      <c r="A471" s="57"/>
      <c r="B471" s="57"/>
    </row>
    <row r="472" spans="1:2" x14ac:dyDescent="0.2">
      <c r="A472" s="57"/>
      <c r="B472" s="57"/>
    </row>
    <row r="473" spans="1:2" x14ac:dyDescent="0.2">
      <c r="A473" s="57"/>
      <c r="B473" s="57"/>
    </row>
    <row r="474" spans="1:2" x14ac:dyDescent="0.2">
      <c r="A474" s="57"/>
      <c r="B474" s="57"/>
    </row>
    <row r="475" spans="1:2" x14ac:dyDescent="0.2">
      <c r="A475" s="57"/>
      <c r="B475" s="57"/>
    </row>
    <row r="476" spans="1:2" x14ac:dyDescent="0.2">
      <c r="A476" s="57"/>
      <c r="B476" s="57"/>
    </row>
    <row r="477" spans="1:2" x14ac:dyDescent="0.2">
      <c r="A477" s="57"/>
      <c r="B477" s="57"/>
    </row>
    <row r="478" spans="1:2" x14ac:dyDescent="0.2">
      <c r="A478" s="57"/>
      <c r="B478" s="57"/>
    </row>
    <row r="479" spans="1:2" x14ac:dyDescent="0.2">
      <c r="A479" s="57"/>
      <c r="B479" s="57"/>
    </row>
    <row r="480" spans="1:2" x14ac:dyDescent="0.2">
      <c r="A480" s="57"/>
      <c r="B480" s="57"/>
    </row>
    <row r="481" spans="1:2" x14ac:dyDescent="0.2">
      <c r="A481" s="57"/>
      <c r="B481" s="57"/>
    </row>
    <row r="482" spans="1:2" x14ac:dyDescent="0.2">
      <c r="A482" s="57"/>
      <c r="B482" s="57"/>
    </row>
    <row r="483" spans="1:2" x14ac:dyDescent="0.2">
      <c r="A483" s="57"/>
      <c r="B483" s="57"/>
    </row>
    <row r="484" spans="1:2" x14ac:dyDescent="0.2">
      <c r="A484" s="57"/>
      <c r="B484" s="57"/>
    </row>
    <row r="485" spans="1:2" x14ac:dyDescent="0.2">
      <c r="A485" s="57"/>
      <c r="B485" s="57"/>
    </row>
    <row r="486" spans="1:2" x14ac:dyDescent="0.2">
      <c r="A486" s="57"/>
      <c r="B486" s="57"/>
    </row>
    <row r="487" spans="1:2" x14ac:dyDescent="0.2">
      <c r="A487" s="57"/>
      <c r="B487" s="57"/>
    </row>
    <row r="488" spans="1:2" x14ac:dyDescent="0.2">
      <c r="A488" s="57"/>
      <c r="B488" s="57"/>
    </row>
    <row r="489" spans="1:2" x14ac:dyDescent="0.2">
      <c r="A489" s="57"/>
      <c r="B489" s="57"/>
    </row>
    <row r="490" spans="1:2" x14ac:dyDescent="0.2">
      <c r="A490" s="57"/>
      <c r="B490" s="57"/>
    </row>
    <row r="491" spans="1:2" x14ac:dyDescent="0.2">
      <c r="A491" s="57"/>
      <c r="B491" s="57"/>
    </row>
    <row r="492" spans="1:2" x14ac:dyDescent="0.2">
      <c r="A492" s="57"/>
      <c r="B492" s="57"/>
    </row>
    <row r="493" spans="1:2" x14ac:dyDescent="0.2">
      <c r="A493" s="57"/>
      <c r="B493" s="57"/>
    </row>
    <row r="494" spans="1:2" x14ac:dyDescent="0.2">
      <c r="A494" s="57"/>
      <c r="B494" s="57"/>
    </row>
    <row r="495" spans="1:2" x14ac:dyDescent="0.2">
      <c r="A495" s="57"/>
      <c r="B495" s="57"/>
    </row>
    <row r="496" spans="1:2" x14ac:dyDescent="0.2">
      <c r="A496" s="57"/>
      <c r="B496" s="57"/>
    </row>
    <row r="497" spans="1:2" x14ac:dyDescent="0.2">
      <c r="A497" s="57"/>
      <c r="B497" s="57"/>
    </row>
    <row r="498" spans="1:2" x14ac:dyDescent="0.2">
      <c r="A498" s="57"/>
      <c r="B498" s="57"/>
    </row>
    <row r="499" spans="1:2" x14ac:dyDescent="0.2">
      <c r="A499" s="57"/>
      <c r="B499" s="57"/>
    </row>
    <row r="500" spans="1:2" x14ac:dyDescent="0.2">
      <c r="A500" s="57"/>
      <c r="B500" s="57"/>
    </row>
    <row r="501" spans="1:2" x14ac:dyDescent="0.2">
      <c r="A501" s="57"/>
      <c r="B501" s="57"/>
    </row>
    <row r="502" spans="1:2" x14ac:dyDescent="0.2">
      <c r="A502" s="57"/>
      <c r="B502" s="57"/>
    </row>
    <row r="503" spans="1:2" x14ac:dyDescent="0.2">
      <c r="A503" s="57"/>
      <c r="B503" s="57"/>
    </row>
    <row r="504" spans="1:2" x14ac:dyDescent="0.2">
      <c r="A504" s="57"/>
      <c r="B504" s="57"/>
    </row>
    <row r="505" spans="1:2" x14ac:dyDescent="0.2">
      <c r="A505" s="57"/>
      <c r="B505" s="57"/>
    </row>
    <row r="506" spans="1:2" x14ac:dyDescent="0.2">
      <c r="A506" s="57"/>
      <c r="B506" s="57"/>
    </row>
    <row r="507" spans="1:2" x14ac:dyDescent="0.2">
      <c r="A507" s="57"/>
      <c r="B507" s="57"/>
    </row>
    <row r="508" spans="1:2" x14ac:dyDescent="0.2">
      <c r="A508" s="57"/>
      <c r="B508" s="57"/>
    </row>
    <row r="509" spans="1:2" x14ac:dyDescent="0.2">
      <c r="A509" s="57"/>
      <c r="B509" s="57"/>
    </row>
    <row r="510" spans="1:2" x14ac:dyDescent="0.2">
      <c r="A510" s="57"/>
      <c r="B510" s="57"/>
    </row>
    <row r="511" spans="1:2" x14ac:dyDescent="0.2">
      <c r="A511" s="57"/>
      <c r="B511" s="57"/>
    </row>
    <row r="512" spans="1:2" x14ac:dyDescent="0.2">
      <c r="A512" s="57"/>
      <c r="B512" s="57"/>
    </row>
    <row r="513" spans="1:2" x14ac:dyDescent="0.2">
      <c r="A513" s="57"/>
      <c r="B513" s="57"/>
    </row>
    <row r="514" spans="1:2" x14ac:dyDescent="0.2">
      <c r="A514" s="57"/>
      <c r="B514" s="57"/>
    </row>
    <row r="515" spans="1:2" x14ac:dyDescent="0.2">
      <c r="A515" s="57"/>
      <c r="B515" s="57"/>
    </row>
    <row r="516" spans="1:2" x14ac:dyDescent="0.2">
      <c r="A516" s="57"/>
      <c r="B516" s="57"/>
    </row>
    <row r="517" spans="1:2" x14ac:dyDescent="0.2">
      <c r="A517" s="57"/>
      <c r="B517" s="57"/>
    </row>
    <row r="518" spans="1:2" x14ac:dyDescent="0.2">
      <c r="A518" s="57"/>
      <c r="B518" s="57"/>
    </row>
    <row r="519" spans="1:2" x14ac:dyDescent="0.2">
      <c r="A519" s="57"/>
      <c r="B519" s="57"/>
    </row>
    <row r="520" spans="1:2" x14ac:dyDescent="0.2">
      <c r="A520" s="57"/>
      <c r="B520" s="57"/>
    </row>
    <row r="521" spans="1:2" x14ac:dyDescent="0.2">
      <c r="A521" s="57"/>
      <c r="B521" s="57"/>
    </row>
    <row r="522" spans="1:2" x14ac:dyDescent="0.2">
      <c r="A522" s="57"/>
      <c r="B522" s="57"/>
    </row>
    <row r="523" spans="1:2" x14ac:dyDescent="0.2">
      <c r="A523" s="57"/>
      <c r="B523" s="57"/>
    </row>
    <row r="524" spans="1:2" x14ac:dyDescent="0.2">
      <c r="A524" s="57"/>
      <c r="B524" s="57"/>
    </row>
    <row r="525" spans="1:2" x14ac:dyDescent="0.2">
      <c r="A525" s="57"/>
      <c r="B525" s="57"/>
    </row>
    <row r="526" spans="1:2" x14ac:dyDescent="0.2">
      <c r="A526" s="57"/>
      <c r="B526" s="57"/>
    </row>
    <row r="527" spans="1:2" x14ac:dyDescent="0.2">
      <c r="A527" s="57"/>
      <c r="B527" s="57"/>
    </row>
    <row r="528" spans="1:2" x14ac:dyDescent="0.2">
      <c r="A528" s="57"/>
      <c r="B528" s="57"/>
    </row>
    <row r="529" spans="1:2" x14ac:dyDescent="0.2">
      <c r="A529" s="57"/>
      <c r="B529" s="57"/>
    </row>
    <row r="530" spans="1:2" x14ac:dyDescent="0.2">
      <c r="A530" s="57"/>
      <c r="B530" s="57"/>
    </row>
    <row r="531" spans="1:2" x14ac:dyDescent="0.2">
      <c r="A531" s="57"/>
      <c r="B531" s="57"/>
    </row>
    <row r="532" spans="1:2" x14ac:dyDescent="0.2">
      <c r="A532" s="57"/>
      <c r="B532" s="57"/>
    </row>
    <row r="533" spans="1:2" x14ac:dyDescent="0.2">
      <c r="A533" s="57"/>
      <c r="B533" s="57"/>
    </row>
    <row r="534" spans="1:2" x14ac:dyDescent="0.2">
      <c r="A534" s="57"/>
      <c r="B534" s="57"/>
    </row>
    <row r="535" spans="1:2" x14ac:dyDescent="0.2">
      <c r="A535" s="57"/>
      <c r="B535" s="57"/>
    </row>
    <row r="536" spans="1:2" x14ac:dyDescent="0.2">
      <c r="A536" s="57"/>
      <c r="B536" s="57"/>
    </row>
    <row r="537" spans="1:2" x14ac:dyDescent="0.2">
      <c r="A537" s="57"/>
      <c r="B537" s="57"/>
    </row>
    <row r="538" spans="1:2" x14ac:dyDescent="0.2">
      <c r="A538" s="57"/>
      <c r="B538" s="57"/>
    </row>
    <row r="539" spans="1:2" x14ac:dyDescent="0.2">
      <c r="A539" s="57"/>
      <c r="B539" s="57"/>
    </row>
    <row r="540" spans="1:2" x14ac:dyDescent="0.2">
      <c r="A540" s="57"/>
      <c r="B540" s="57"/>
    </row>
    <row r="541" spans="1:2" x14ac:dyDescent="0.2">
      <c r="A541" s="57"/>
      <c r="B541" s="57"/>
    </row>
    <row r="542" spans="1:2" x14ac:dyDescent="0.2">
      <c r="A542" s="57"/>
      <c r="B542" s="57"/>
    </row>
    <row r="543" spans="1:2" x14ac:dyDescent="0.2">
      <c r="A543" s="57"/>
      <c r="B543" s="57"/>
    </row>
    <row r="544" spans="1:2" x14ac:dyDescent="0.2">
      <c r="A544" s="57"/>
      <c r="B544" s="57"/>
    </row>
    <row r="545" spans="1:2" x14ac:dyDescent="0.2">
      <c r="A545" s="57"/>
      <c r="B545" s="57"/>
    </row>
    <row r="546" spans="1:2" x14ac:dyDescent="0.2">
      <c r="A546" s="57"/>
      <c r="B546" s="57"/>
    </row>
    <row r="547" spans="1:2" x14ac:dyDescent="0.2">
      <c r="A547" s="57"/>
      <c r="B547" s="57"/>
    </row>
    <row r="548" spans="1:2" x14ac:dyDescent="0.2">
      <c r="A548" s="57"/>
      <c r="B548" s="57"/>
    </row>
    <row r="549" spans="1:2" x14ac:dyDescent="0.2">
      <c r="A549" s="57"/>
      <c r="B549" s="57"/>
    </row>
    <row r="550" spans="1:2" x14ac:dyDescent="0.2">
      <c r="A550" s="57"/>
      <c r="B550" s="57"/>
    </row>
    <row r="551" spans="1:2" x14ac:dyDescent="0.2">
      <c r="A551" s="57"/>
      <c r="B551" s="57"/>
    </row>
    <row r="552" spans="1:2" x14ac:dyDescent="0.2">
      <c r="A552" s="57"/>
      <c r="B552" s="57"/>
    </row>
    <row r="553" spans="1:2" x14ac:dyDescent="0.2">
      <c r="A553" s="57"/>
      <c r="B553" s="57"/>
    </row>
    <row r="554" spans="1:2" x14ac:dyDescent="0.2">
      <c r="A554" s="57"/>
      <c r="B554" s="57"/>
    </row>
    <row r="555" spans="1:2" x14ac:dyDescent="0.2">
      <c r="A555" s="57"/>
      <c r="B555" s="57"/>
    </row>
    <row r="556" spans="1:2" x14ac:dyDescent="0.2">
      <c r="A556" s="57"/>
      <c r="B556" s="57"/>
    </row>
    <row r="557" spans="1:2" x14ac:dyDescent="0.2">
      <c r="A557" s="57"/>
      <c r="B557" s="57"/>
    </row>
    <row r="558" spans="1:2" x14ac:dyDescent="0.2">
      <c r="A558" s="57"/>
      <c r="B558" s="57"/>
    </row>
    <row r="559" spans="1:2" x14ac:dyDescent="0.2">
      <c r="A559" s="57"/>
      <c r="B559" s="57"/>
    </row>
    <row r="560" spans="1:2" x14ac:dyDescent="0.2">
      <c r="A560" s="57"/>
      <c r="B560" s="57"/>
    </row>
    <row r="561" spans="1:2" x14ac:dyDescent="0.2">
      <c r="A561" s="57"/>
      <c r="B561" s="57"/>
    </row>
    <row r="562" spans="1:2" x14ac:dyDescent="0.2">
      <c r="A562" s="57"/>
      <c r="B562" s="57"/>
    </row>
    <row r="563" spans="1:2" x14ac:dyDescent="0.2">
      <c r="A563" s="57"/>
      <c r="B563" s="57"/>
    </row>
    <row r="564" spans="1:2" x14ac:dyDescent="0.2">
      <c r="A564" s="57"/>
      <c r="B564" s="57"/>
    </row>
    <row r="565" spans="1:2" x14ac:dyDescent="0.2">
      <c r="A565" s="57"/>
      <c r="B565" s="57"/>
    </row>
    <row r="566" spans="1:2" x14ac:dyDescent="0.2">
      <c r="A566" s="57"/>
      <c r="B566" s="57"/>
    </row>
    <row r="567" spans="1:2" x14ac:dyDescent="0.2">
      <c r="A567" s="57"/>
      <c r="B567" s="57"/>
    </row>
    <row r="568" spans="1:2" x14ac:dyDescent="0.2">
      <c r="A568" s="57"/>
      <c r="B568" s="57"/>
    </row>
    <row r="569" spans="1:2" x14ac:dyDescent="0.2">
      <c r="A569" s="57"/>
      <c r="B569" s="57"/>
    </row>
    <row r="570" spans="1:2" x14ac:dyDescent="0.2">
      <c r="A570" s="57"/>
      <c r="B570" s="57"/>
    </row>
    <row r="571" spans="1:2" x14ac:dyDescent="0.2">
      <c r="A571" s="57"/>
      <c r="B571" s="57"/>
    </row>
    <row r="572" spans="1:2" x14ac:dyDescent="0.2">
      <c r="A572" s="57"/>
      <c r="B572" s="57"/>
    </row>
    <row r="573" spans="1:2" x14ac:dyDescent="0.2">
      <c r="A573" s="57"/>
      <c r="B573" s="57"/>
    </row>
    <row r="574" spans="1:2" x14ac:dyDescent="0.2">
      <c r="A574" s="57"/>
      <c r="B574" s="57"/>
    </row>
    <row r="575" spans="1:2" x14ac:dyDescent="0.2">
      <c r="A575" s="57"/>
      <c r="B575" s="57"/>
    </row>
    <row r="576" spans="1:2" x14ac:dyDescent="0.2">
      <c r="A576" s="57"/>
      <c r="B576" s="57"/>
    </row>
    <row r="577" spans="1:2" x14ac:dyDescent="0.2">
      <c r="A577" s="57"/>
      <c r="B577" s="57"/>
    </row>
    <row r="578" spans="1:2" x14ac:dyDescent="0.2">
      <c r="A578" s="57"/>
      <c r="B578" s="57"/>
    </row>
    <row r="579" spans="1:2" x14ac:dyDescent="0.2">
      <c r="A579" s="57"/>
      <c r="B579" s="57"/>
    </row>
    <row r="580" spans="1:2" x14ac:dyDescent="0.2">
      <c r="A580" s="57"/>
      <c r="B580" s="57"/>
    </row>
    <row r="581" spans="1:2" x14ac:dyDescent="0.2">
      <c r="A581" s="57"/>
      <c r="B581" s="57"/>
    </row>
    <row r="582" spans="1:2" x14ac:dyDescent="0.2">
      <c r="A582" s="57"/>
      <c r="B582" s="57"/>
    </row>
    <row r="583" spans="1:2" x14ac:dyDescent="0.2">
      <c r="A583" s="57"/>
      <c r="B583" s="57"/>
    </row>
    <row r="584" spans="1:2" x14ac:dyDescent="0.2">
      <c r="A584" s="57"/>
      <c r="B584" s="57"/>
    </row>
    <row r="585" spans="1:2" x14ac:dyDescent="0.2">
      <c r="A585" s="57"/>
      <c r="B585" s="57"/>
    </row>
    <row r="586" spans="1:2" x14ac:dyDescent="0.2">
      <c r="A586" s="57"/>
      <c r="B586" s="57"/>
    </row>
    <row r="587" spans="1:2" x14ac:dyDescent="0.2">
      <c r="A587" s="57"/>
      <c r="B587" s="57"/>
    </row>
    <row r="588" spans="1:2" x14ac:dyDescent="0.2">
      <c r="A588" s="57"/>
      <c r="B588" s="57"/>
    </row>
    <row r="589" spans="1:2" x14ac:dyDescent="0.2">
      <c r="A589" s="57"/>
      <c r="B589" s="57"/>
    </row>
    <row r="590" spans="1:2" x14ac:dyDescent="0.2">
      <c r="A590" s="57"/>
      <c r="B590" s="57"/>
    </row>
    <row r="591" spans="1:2" x14ac:dyDescent="0.2">
      <c r="A591" s="57"/>
      <c r="B591" s="57"/>
    </row>
    <row r="592" spans="1:2" x14ac:dyDescent="0.2">
      <c r="A592" s="57"/>
      <c r="B592" s="57"/>
    </row>
    <row r="593" spans="1:2" x14ac:dyDescent="0.2">
      <c r="A593" s="57"/>
      <c r="B593" s="57"/>
    </row>
    <row r="594" spans="1:2" x14ac:dyDescent="0.2">
      <c r="A594" s="57"/>
      <c r="B594" s="57"/>
    </row>
    <row r="595" spans="1:2" x14ac:dyDescent="0.2">
      <c r="A595" s="57"/>
      <c r="B595" s="57"/>
    </row>
    <row r="596" spans="1:2" x14ac:dyDescent="0.2">
      <c r="A596" s="57"/>
      <c r="B596" s="57"/>
    </row>
    <row r="597" spans="1:2" x14ac:dyDescent="0.2">
      <c r="A597" s="57"/>
      <c r="B597" s="57"/>
    </row>
    <row r="598" spans="1:2" x14ac:dyDescent="0.2">
      <c r="A598" s="57"/>
      <c r="B598" s="57"/>
    </row>
    <row r="599" spans="1:2" x14ac:dyDescent="0.2">
      <c r="A599" s="57"/>
      <c r="B599" s="57"/>
    </row>
    <row r="600" spans="1:2" x14ac:dyDescent="0.2">
      <c r="A600" s="57"/>
      <c r="B600" s="57"/>
    </row>
    <row r="601" spans="1:2" x14ac:dyDescent="0.2">
      <c r="A601" s="57"/>
      <c r="B601" s="57"/>
    </row>
    <row r="602" spans="1:2" x14ac:dyDescent="0.2">
      <c r="A602" s="57"/>
      <c r="B602" s="57"/>
    </row>
    <row r="603" spans="1:2" x14ac:dyDescent="0.2">
      <c r="A603" s="57"/>
      <c r="B603" s="57"/>
    </row>
    <row r="604" spans="1:2" x14ac:dyDescent="0.2">
      <c r="A604" s="57"/>
      <c r="B604" s="57"/>
    </row>
    <row r="605" spans="1:2" x14ac:dyDescent="0.2">
      <c r="A605" s="57"/>
      <c r="B605" s="57"/>
    </row>
    <row r="606" spans="1:2" x14ac:dyDescent="0.2">
      <c r="A606" s="57"/>
      <c r="B606" s="57"/>
    </row>
    <row r="607" spans="1:2" x14ac:dyDescent="0.2">
      <c r="A607" s="57"/>
      <c r="B607" s="57"/>
    </row>
    <row r="608" spans="1:2" x14ac:dyDescent="0.2">
      <c r="A608" s="57"/>
      <c r="B608" s="57"/>
    </row>
    <row r="609" spans="1:2" x14ac:dyDescent="0.2">
      <c r="A609" s="57"/>
      <c r="B609" s="57"/>
    </row>
    <row r="610" spans="1:2" x14ac:dyDescent="0.2">
      <c r="A610" s="57"/>
      <c r="B610" s="57"/>
    </row>
    <row r="611" spans="1:2" x14ac:dyDescent="0.2">
      <c r="A611" s="57"/>
      <c r="B611" s="57"/>
    </row>
    <row r="612" spans="1:2" x14ac:dyDescent="0.2">
      <c r="A612" s="57"/>
      <c r="B612" s="57"/>
    </row>
    <row r="613" spans="1:2" x14ac:dyDescent="0.2">
      <c r="A613" s="57"/>
      <c r="B613" s="57"/>
    </row>
    <row r="614" spans="1:2" x14ac:dyDescent="0.2">
      <c r="A614" s="57"/>
      <c r="B614" s="57"/>
    </row>
    <row r="615" spans="1:2" x14ac:dyDescent="0.2">
      <c r="A615" s="57"/>
      <c r="B615" s="57"/>
    </row>
    <row r="616" spans="1:2" x14ac:dyDescent="0.2">
      <c r="A616" s="57"/>
      <c r="B616" s="57"/>
    </row>
    <row r="617" spans="1:2" x14ac:dyDescent="0.2">
      <c r="A617" s="57"/>
      <c r="B617" s="57"/>
    </row>
    <row r="618" spans="1:2" x14ac:dyDescent="0.2">
      <c r="A618" s="57"/>
      <c r="B618" s="57"/>
    </row>
    <row r="619" spans="1:2" x14ac:dyDescent="0.2">
      <c r="A619" s="57"/>
      <c r="B619" s="57"/>
    </row>
    <row r="620" spans="1:2" x14ac:dyDescent="0.2">
      <c r="A620" s="57"/>
      <c r="B620" s="57"/>
    </row>
    <row r="621" spans="1:2" x14ac:dyDescent="0.2">
      <c r="A621" s="57"/>
      <c r="B621" s="57"/>
    </row>
    <row r="622" spans="1:2" x14ac:dyDescent="0.2">
      <c r="A622" s="57"/>
      <c r="B622" s="57"/>
    </row>
    <row r="623" spans="1:2" x14ac:dyDescent="0.2">
      <c r="A623" s="57"/>
      <c r="B623" s="57"/>
    </row>
    <row r="624" spans="1:2" x14ac:dyDescent="0.2">
      <c r="A624" s="57"/>
      <c r="B624" s="57"/>
    </row>
    <row r="625" spans="1:2" x14ac:dyDescent="0.2">
      <c r="A625" s="57"/>
      <c r="B625" s="57"/>
    </row>
    <row r="626" spans="1:2" x14ac:dyDescent="0.2">
      <c r="A626" s="57"/>
      <c r="B626" s="57"/>
    </row>
    <row r="627" spans="1:2" x14ac:dyDescent="0.2">
      <c r="A627" s="57"/>
      <c r="B627" s="57"/>
    </row>
    <row r="628" spans="1:2" x14ac:dyDescent="0.2">
      <c r="A628" s="57"/>
      <c r="B628" s="57"/>
    </row>
    <row r="629" spans="1:2" x14ac:dyDescent="0.2">
      <c r="A629" s="57"/>
      <c r="B629" s="57"/>
    </row>
    <row r="630" spans="1:2" x14ac:dyDescent="0.2">
      <c r="A630" s="57"/>
      <c r="B630" s="57"/>
    </row>
    <row r="631" spans="1:2" x14ac:dyDescent="0.2">
      <c r="A631" s="57"/>
      <c r="B631" s="57"/>
    </row>
    <row r="632" spans="1:2" x14ac:dyDescent="0.2">
      <c r="A632" s="57"/>
      <c r="B632" s="57"/>
    </row>
    <row r="633" spans="1:2" x14ac:dyDescent="0.2">
      <c r="A633" s="57"/>
      <c r="B633" s="57"/>
    </row>
    <row r="634" spans="1:2" x14ac:dyDescent="0.2">
      <c r="A634" s="57"/>
      <c r="B634" s="57"/>
    </row>
    <row r="635" spans="1:2" x14ac:dyDescent="0.2">
      <c r="A635" s="57"/>
      <c r="B635" s="57"/>
    </row>
    <row r="636" spans="1:2" x14ac:dyDescent="0.2">
      <c r="A636" s="57"/>
      <c r="B636" s="57"/>
    </row>
    <row r="637" spans="1:2" x14ac:dyDescent="0.2">
      <c r="A637" s="57"/>
      <c r="B637" s="57"/>
    </row>
    <row r="638" spans="1:2" x14ac:dyDescent="0.2">
      <c r="A638" s="57"/>
      <c r="B638" s="57"/>
    </row>
    <row r="639" spans="1:2" x14ac:dyDescent="0.2">
      <c r="A639" s="57"/>
      <c r="B639" s="57"/>
    </row>
    <row r="640" spans="1:2" x14ac:dyDescent="0.2">
      <c r="A640" s="57"/>
      <c r="B640" s="57"/>
    </row>
    <row r="641" spans="1:2" x14ac:dyDescent="0.2">
      <c r="A641" s="57"/>
      <c r="B641" s="57"/>
    </row>
    <row r="642" spans="1:2" x14ac:dyDescent="0.2">
      <c r="A642" s="57"/>
      <c r="B642" s="57"/>
    </row>
    <row r="643" spans="1:2" x14ac:dyDescent="0.2">
      <c r="A643" s="57"/>
      <c r="B643" s="57"/>
    </row>
    <row r="644" spans="1:2" x14ac:dyDescent="0.2">
      <c r="A644" s="57"/>
      <c r="B644" s="57"/>
    </row>
    <row r="645" spans="1:2" x14ac:dyDescent="0.2">
      <c r="A645" s="57"/>
      <c r="B645" s="57"/>
    </row>
    <row r="646" spans="1:2" x14ac:dyDescent="0.2">
      <c r="A646" s="57"/>
      <c r="B646" s="57"/>
    </row>
    <row r="647" spans="1:2" x14ac:dyDescent="0.2">
      <c r="A647" s="57"/>
      <c r="B647" s="57"/>
    </row>
    <row r="648" spans="1:2" x14ac:dyDescent="0.2">
      <c r="A648" s="57"/>
      <c r="B648" s="57"/>
    </row>
    <row r="649" spans="1:2" x14ac:dyDescent="0.2">
      <c r="A649" s="57"/>
      <c r="B649" s="57"/>
    </row>
    <row r="650" spans="1:2" x14ac:dyDescent="0.2">
      <c r="A650" s="57"/>
      <c r="B650" s="57"/>
    </row>
    <row r="651" spans="1:2" x14ac:dyDescent="0.2">
      <c r="A651" s="57"/>
      <c r="B651" s="57"/>
    </row>
    <row r="652" spans="1:2" x14ac:dyDescent="0.2">
      <c r="A652" s="57"/>
      <c r="B652" s="57"/>
    </row>
    <row r="653" spans="1:2" x14ac:dyDescent="0.2">
      <c r="A653" s="57"/>
      <c r="B653" s="57"/>
    </row>
    <row r="654" spans="1:2" x14ac:dyDescent="0.2">
      <c r="A654" s="57"/>
      <c r="B654" s="57"/>
    </row>
    <row r="655" spans="1:2" x14ac:dyDescent="0.2">
      <c r="A655" s="57"/>
      <c r="B655" s="57"/>
    </row>
    <row r="656" spans="1:2" x14ac:dyDescent="0.2">
      <c r="A656" s="57"/>
      <c r="B656" s="57"/>
    </row>
    <row r="657" spans="1:2" x14ac:dyDescent="0.2">
      <c r="A657" s="57"/>
      <c r="B657" s="57"/>
    </row>
    <row r="658" spans="1:2" x14ac:dyDescent="0.2">
      <c r="A658" s="57"/>
      <c r="B658" s="57"/>
    </row>
    <row r="659" spans="1:2" x14ac:dyDescent="0.2">
      <c r="A659" s="57"/>
      <c r="B659" s="57"/>
    </row>
    <row r="660" spans="1:2" x14ac:dyDescent="0.2">
      <c r="A660" s="57"/>
      <c r="B660" s="57"/>
    </row>
    <row r="661" spans="1:2" x14ac:dyDescent="0.2">
      <c r="A661" s="57"/>
      <c r="B661" s="57"/>
    </row>
    <row r="662" spans="1:2" x14ac:dyDescent="0.2">
      <c r="A662" s="57"/>
      <c r="B662" s="57"/>
    </row>
    <row r="663" spans="1:2" x14ac:dyDescent="0.2">
      <c r="A663" s="57"/>
      <c r="B663" s="57"/>
    </row>
    <row r="664" spans="1:2" x14ac:dyDescent="0.2">
      <c r="A664" s="57"/>
      <c r="B664" s="57"/>
    </row>
    <row r="665" spans="1:2" x14ac:dyDescent="0.2">
      <c r="A665" s="57"/>
      <c r="B665" s="57"/>
    </row>
    <row r="666" spans="1:2" x14ac:dyDescent="0.2">
      <c r="A666" s="57"/>
      <c r="B666" s="57"/>
    </row>
    <row r="667" spans="1:2" x14ac:dyDescent="0.2">
      <c r="A667" s="57"/>
      <c r="B667" s="57"/>
    </row>
    <row r="668" spans="1:2" x14ac:dyDescent="0.2">
      <c r="A668" s="57"/>
      <c r="B668" s="57"/>
    </row>
    <row r="669" spans="1:2" x14ac:dyDescent="0.2">
      <c r="A669" s="57"/>
      <c r="B669" s="57"/>
    </row>
    <row r="670" spans="1:2" x14ac:dyDescent="0.2">
      <c r="A670" s="57"/>
      <c r="B670" s="57"/>
    </row>
    <row r="671" spans="1:2" x14ac:dyDescent="0.2">
      <c r="A671" s="57"/>
      <c r="B671" s="57"/>
    </row>
    <row r="672" spans="1:2" x14ac:dyDescent="0.2">
      <c r="A672" s="57"/>
      <c r="B672" s="57"/>
    </row>
    <row r="673" spans="1:2" x14ac:dyDescent="0.2">
      <c r="A673" s="57"/>
      <c r="B673" s="57"/>
    </row>
    <row r="674" spans="1:2" x14ac:dyDescent="0.2">
      <c r="A674" s="57"/>
      <c r="B674" s="57"/>
    </row>
    <row r="675" spans="1:2" x14ac:dyDescent="0.2">
      <c r="A675" s="57"/>
      <c r="B675" s="57"/>
    </row>
    <row r="676" spans="1:2" x14ac:dyDescent="0.2">
      <c r="A676" s="57"/>
      <c r="B676" s="57"/>
    </row>
    <row r="677" spans="1:2" x14ac:dyDescent="0.2">
      <c r="A677" s="57"/>
      <c r="B677" s="57"/>
    </row>
    <row r="678" spans="1:2" x14ac:dyDescent="0.2">
      <c r="A678" s="57"/>
      <c r="B678" s="57"/>
    </row>
    <row r="679" spans="1:2" x14ac:dyDescent="0.2">
      <c r="A679" s="57"/>
      <c r="B679" s="57"/>
    </row>
    <row r="680" spans="1:2" x14ac:dyDescent="0.2">
      <c r="A680" s="57"/>
      <c r="B680" s="57"/>
    </row>
    <row r="681" spans="1:2" x14ac:dyDescent="0.2">
      <c r="A681" s="57"/>
      <c r="B681" s="57"/>
    </row>
    <row r="682" spans="1:2" x14ac:dyDescent="0.2">
      <c r="A682" s="57"/>
      <c r="B682" s="57"/>
    </row>
    <row r="683" spans="1:2" x14ac:dyDescent="0.2">
      <c r="A683" s="57"/>
      <c r="B683" s="57"/>
    </row>
    <row r="684" spans="1:2" x14ac:dyDescent="0.2">
      <c r="A684" s="57"/>
      <c r="B684" s="57"/>
    </row>
    <row r="685" spans="1:2" x14ac:dyDescent="0.2">
      <c r="A685" s="57"/>
      <c r="B685" s="57"/>
    </row>
    <row r="686" spans="1:2" x14ac:dyDescent="0.2">
      <c r="A686" s="57"/>
      <c r="B686" s="57"/>
    </row>
    <row r="687" spans="1:2" x14ac:dyDescent="0.2">
      <c r="A687" s="57"/>
      <c r="B687" s="57"/>
    </row>
    <row r="688" spans="1:2" x14ac:dyDescent="0.2">
      <c r="A688" s="57"/>
      <c r="B688" s="57"/>
    </row>
    <row r="689" spans="1:2" x14ac:dyDescent="0.2">
      <c r="A689" s="57"/>
      <c r="B689" s="57"/>
    </row>
    <row r="690" spans="1:2" x14ac:dyDescent="0.2">
      <c r="A690" s="57"/>
      <c r="B690" s="57"/>
    </row>
    <row r="691" spans="1:2" x14ac:dyDescent="0.2">
      <c r="A691" s="57"/>
      <c r="B691" s="57"/>
    </row>
    <row r="692" spans="1:2" x14ac:dyDescent="0.2">
      <c r="A692" s="57"/>
      <c r="B692" s="57"/>
    </row>
    <row r="693" spans="1:2" x14ac:dyDescent="0.2">
      <c r="A693" s="57"/>
      <c r="B693" s="57"/>
    </row>
    <row r="694" spans="1:2" x14ac:dyDescent="0.2">
      <c r="A694" s="57"/>
      <c r="B694" s="57"/>
    </row>
    <row r="695" spans="1:2" x14ac:dyDescent="0.2">
      <c r="A695" s="57"/>
      <c r="B695" s="57"/>
    </row>
    <row r="696" spans="1:2" x14ac:dyDescent="0.2">
      <c r="A696" s="57"/>
      <c r="B696" s="57"/>
    </row>
    <row r="697" spans="1:2" x14ac:dyDescent="0.2">
      <c r="A697" s="57"/>
      <c r="B697" s="57"/>
    </row>
    <row r="698" spans="1:2" x14ac:dyDescent="0.2">
      <c r="A698" s="57"/>
      <c r="B698" s="57"/>
    </row>
    <row r="699" spans="1:2" x14ac:dyDescent="0.2">
      <c r="A699" s="57"/>
      <c r="B699" s="57"/>
    </row>
    <row r="700" spans="1:2" x14ac:dyDescent="0.2">
      <c r="A700" s="57"/>
      <c r="B700" s="57"/>
    </row>
    <row r="701" spans="1:2" x14ac:dyDescent="0.2">
      <c r="A701" s="57"/>
      <c r="B701" s="57"/>
    </row>
    <row r="702" spans="1:2" x14ac:dyDescent="0.2">
      <c r="A702" s="57"/>
      <c r="B702" s="57"/>
    </row>
    <row r="703" spans="1:2" x14ac:dyDescent="0.2">
      <c r="A703" s="57"/>
      <c r="B703" s="57"/>
    </row>
    <row r="704" spans="1:2" x14ac:dyDescent="0.2">
      <c r="A704" s="57"/>
      <c r="B704" s="57"/>
    </row>
    <row r="705" spans="1:2" x14ac:dyDescent="0.2">
      <c r="A705" s="57"/>
      <c r="B705" s="57"/>
    </row>
    <row r="706" spans="1:2" x14ac:dyDescent="0.2">
      <c r="A706" s="57"/>
      <c r="B706" s="57"/>
    </row>
    <row r="707" spans="1:2" x14ac:dyDescent="0.2">
      <c r="A707" s="57"/>
      <c r="B707" s="57"/>
    </row>
    <row r="708" spans="1:2" x14ac:dyDescent="0.2">
      <c r="A708" s="57"/>
      <c r="B708" s="57"/>
    </row>
    <row r="709" spans="1:2" x14ac:dyDescent="0.2">
      <c r="A709" s="57"/>
      <c r="B709" s="57"/>
    </row>
    <row r="710" spans="1:2" x14ac:dyDescent="0.2">
      <c r="A710" s="57"/>
      <c r="B710" s="57"/>
    </row>
    <row r="711" spans="1:2" x14ac:dyDescent="0.2">
      <c r="A711" s="57"/>
      <c r="B711" s="57"/>
    </row>
    <row r="712" spans="1:2" x14ac:dyDescent="0.2">
      <c r="A712" s="57"/>
      <c r="B712" s="57"/>
    </row>
    <row r="713" spans="1:2" x14ac:dyDescent="0.2">
      <c r="A713" s="57"/>
      <c r="B713" s="57"/>
    </row>
    <row r="714" spans="1:2" x14ac:dyDescent="0.2">
      <c r="A714" s="57"/>
      <c r="B714" s="57"/>
    </row>
    <row r="715" spans="1:2" x14ac:dyDescent="0.2">
      <c r="A715" s="57"/>
      <c r="B715" s="57"/>
    </row>
    <row r="716" spans="1:2" x14ac:dyDescent="0.2">
      <c r="A716" s="57"/>
      <c r="B716" s="57"/>
    </row>
    <row r="717" spans="1:2" x14ac:dyDescent="0.2">
      <c r="A717" s="57"/>
      <c r="B717" s="57"/>
    </row>
    <row r="718" spans="1:2" x14ac:dyDescent="0.2">
      <c r="A718" s="57"/>
      <c r="B718" s="57"/>
    </row>
    <row r="719" spans="1:2" x14ac:dyDescent="0.2">
      <c r="A719" s="57"/>
      <c r="B719" s="57"/>
    </row>
    <row r="720" spans="1:2" x14ac:dyDescent="0.2">
      <c r="A720" s="57"/>
      <c r="B720" s="57"/>
    </row>
    <row r="721" spans="1:2" x14ac:dyDescent="0.2">
      <c r="A721" s="57"/>
      <c r="B721" s="57"/>
    </row>
    <row r="722" spans="1:2" x14ac:dyDescent="0.2">
      <c r="A722" s="57"/>
      <c r="B722" s="57"/>
    </row>
    <row r="723" spans="1:2" x14ac:dyDescent="0.2">
      <c r="A723" s="57"/>
      <c r="B723" s="57"/>
    </row>
    <row r="724" spans="1:2" x14ac:dyDescent="0.2">
      <c r="A724" s="57"/>
      <c r="B724" s="57"/>
    </row>
    <row r="725" spans="1:2" x14ac:dyDescent="0.2">
      <c r="A725" s="57"/>
      <c r="B725" s="57"/>
    </row>
    <row r="726" spans="1:2" x14ac:dyDescent="0.2">
      <c r="A726" s="57"/>
      <c r="B726" s="57"/>
    </row>
    <row r="727" spans="1:2" x14ac:dyDescent="0.2">
      <c r="A727" s="57"/>
      <c r="B727" s="57"/>
    </row>
    <row r="728" spans="1:2" x14ac:dyDescent="0.2">
      <c r="A728" s="57"/>
      <c r="B728" s="57"/>
    </row>
    <row r="729" spans="1:2" x14ac:dyDescent="0.2">
      <c r="A729" s="57"/>
      <c r="B729" s="57"/>
    </row>
    <row r="730" spans="1:2" x14ac:dyDescent="0.2">
      <c r="A730" s="57"/>
      <c r="B730" s="57"/>
    </row>
    <row r="731" spans="1:2" x14ac:dyDescent="0.2">
      <c r="A731" s="57"/>
      <c r="B731" s="57"/>
    </row>
    <row r="732" spans="1:2" x14ac:dyDescent="0.2">
      <c r="A732" s="57"/>
      <c r="B732" s="57"/>
    </row>
    <row r="733" spans="1:2" x14ac:dyDescent="0.2">
      <c r="A733" s="57"/>
      <c r="B733" s="57"/>
    </row>
    <row r="734" spans="1:2" x14ac:dyDescent="0.2">
      <c r="A734" s="57"/>
      <c r="B734" s="57"/>
    </row>
    <row r="735" spans="1:2" x14ac:dyDescent="0.2">
      <c r="A735" s="57"/>
      <c r="B735" s="57"/>
    </row>
    <row r="736" spans="1:2" x14ac:dyDescent="0.2">
      <c r="A736" s="57"/>
      <c r="B736" s="57"/>
    </row>
    <row r="737" spans="1:2" x14ac:dyDescent="0.2">
      <c r="A737" s="57"/>
      <c r="B737" s="57"/>
    </row>
    <row r="738" spans="1:2" x14ac:dyDescent="0.2">
      <c r="A738" s="57"/>
      <c r="B738" s="57"/>
    </row>
    <row r="739" spans="1:2" x14ac:dyDescent="0.2">
      <c r="A739" s="57"/>
      <c r="B739" s="57"/>
    </row>
    <row r="740" spans="1:2" x14ac:dyDescent="0.2">
      <c r="A740" s="57"/>
      <c r="B740" s="57"/>
    </row>
    <row r="741" spans="1:2" x14ac:dyDescent="0.2">
      <c r="A741" s="57"/>
      <c r="B741" s="57"/>
    </row>
    <row r="742" spans="1:2" x14ac:dyDescent="0.2">
      <c r="A742" s="57"/>
      <c r="B742" s="57"/>
    </row>
    <row r="743" spans="1:2" x14ac:dyDescent="0.2">
      <c r="A743" s="57"/>
      <c r="B743" s="57"/>
    </row>
    <row r="744" spans="1:2" x14ac:dyDescent="0.2">
      <c r="A744" s="57"/>
      <c r="B744" s="57"/>
    </row>
    <row r="745" spans="1:2" x14ac:dyDescent="0.2">
      <c r="A745" s="57"/>
      <c r="B745" s="57"/>
    </row>
    <row r="746" spans="1:2" x14ac:dyDescent="0.2">
      <c r="A746" s="57"/>
      <c r="B746" s="57"/>
    </row>
    <row r="747" spans="1:2" x14ac:dyDescent="0.2">
      <c r="A747" s="57"/>
      <c r="B747" s="57"/>
    </row>
    <row r="748" spans="1:2" x14ac:dyDescent="0.2">
      <c r="A748" s="57"/>
      <c r="B748" s="57"/>
    </row>
    <row r="749" spans="1:2" x14ac:dyDescent="0.2">
      <c r="A749" s="57"/>
      <c r="B749" s="57"/>
    </row>
    <row r="750" spans="1:2" x14ac:dyDescent="0.2">
      <c r="A750" s="57"/>
      <c r="B750" s="57"/>
    </row>
    <row r="751" spans="1:2" x14ac:dyDescent="0.2">
      <c r="A751" s="57"/>
      <c r="B751" s="57"/>
    </row>
    <row r="752" spans="1:2" x14ac:dyDescent="0.2">
      <c r="A752" s="57"/>
      <c r="B752" s="57"/>
    </row>
    <row r="753" spans="1:2" x14ac:dyDescent="0.2">
      <c r="A753" s="57"/>
      <c r="B753" s="57"/>
    </row>
    <row r="754" spans="1:2" x14ac:dyDescent="0.2">
      <c r="A754" s="57"/>
      <c r="B754" s="57"/>
    </row>
    <row r="755" spans="1:2" x14ac:dyDescent="0.2">
      <c r="A755" s="57"/>
      <c r="B755" s="57"/>
    </row>
    <row r="756" spans="1:2" x14ac:dyDescent="0.2">
      <c r="A756" s="57"/>
      <c r="B756" s="57"/>
    </row>
    <row r="757" spans="1:2" x14ac:dyDescent="0.2">
      <c r="A757" s="57"/>
      <c r="B757" s="57"/>
    </row>
    <row r="758" spans="1:2" x14ac:dyDescent="0.2">
      <c r="A758" s="57"/>
      <c r="B758" s="57"/>
    </row>
    <row r="759" spans="1:2" x14ac:dyDescent="0.2">
      <c r="A759" s="57"/>
      <c r="B759" s="57"/>
    </row>
    <row r="760" spans="1:2" x14ac:dyDescent="0.2">
      <c r="A760" s="57"/>
      <c r="B760" s="57"/>
    </row>
    <row r="761" spans="1:2" x14ac:dyDescent="0.2">
      <c r="A761" s="57"/>
      <c r="B761" s="57"/>
    </row>
    <row r="762" spans="1:2" x14ac:dyDescent="0.2">
      <c r="A762" s="57"/>
      <c r="B762" s="57"/>
    </row>
    <row r="763" spans="1:2" x14ac:dyDescent="0.2">
      <c r="A763" s="57"/>
      <c r="B763" s="57"/>
    </row>
    <row r="764" spans="1:2" x14ac:dyDescent="0.2">
      <c r="A764" s="57"/>
      <c r="B764" s="57"/>
    </row>
    <row r="765" spans="1:2" x14ac:dyDescent="0.2">
      <c r="A765" s="57"/>
      <c r="B765" s="57"/>
    </row>
    <row r="766" spans="1:2" x14ac:dyDescent="0.2">
      <c r="A766" s="57"/>
      <c r="B766" s="57"/>
    </row>
    <row r="767" spans="1:2" x14ac:dyDescent="0.2">
      <c r="A767" s="57"/>
      <c r="B767" s="57"/>
    </row>
    <row r="768" spans="1:2" x14ac:dyDescent="0.2">
      <c r="A768" s="57"/>
      <c r="B768" s="57"/>
    </row>
    <row r="769" spans="1:2" x14ac:dyDescent="0.2">
      <c r="A769" s="57"/>
      <c r="B769" s="57"/>
    </row>
    <row r="770" spans="1:2" x14ac:dyDescent="0.2">
      <c r="A770" s="57"/>
      <c r="B770" s="57"/>
    </row>
    <row r="771" spans="1:2" x14ac:dyDescent="0.2">
      <c r="A771" s="57"/>
      <c r="B771" s="57"/>
    </row>
    <row r="772" spans="1:2" x14ac:dyDescent="0.2">
      <c r="A772" s="57"/>
      <c r="B772" s="57"/>
    </row>
    <row r="773" spans="1:2" x14ac:dyDescent="0.2">
      <c r="A773" s="57"/>
      <c r="B773" s="57"/>
    </row>
    <row r="774" spans="1:2" x14ac:dyDescent="0.2">
      <c r="A774" s="57"/>
      <c r="B774" s="57"/>
    </row>
    <row r="775" spans="1:2" x14ac:dyDescent="0.2">
      <c r="A775" s="57"/>
      <c r="B775" s="57"/>
    </row>
    <row r="776" spans="1:2" x14ac:dyDescent="0.2">
      <c r="A776" s="57"/>
      <c r="B776" s="57"/>
    </row>
    <row r="777" spans="1:2" x14ac:dyDescent="0.2">
      <c r="A777" s="57"/>
      <c r="B777" s="57"/>
    </row>
    <row r="778" spans="1:2" x14ac:dyDescent="0.2">
      <c r="A778" s="57"/>
      <c r="B778" s="57"/>
    </row>
    <row r="779" spans="1:2" x14ac:dyDescent="0.2">
      <c r="A779" s="57"/>
      <c r="B779" s="57"/>
    </row>
    <row r="780" spans="1:2" x14ac:dyDescent="0.2">
      <c r="A780" s="57"/>
      <c r="B780" s="57"/>
    </row>
    <row r="781" spans="1:2" x14ac:dyDescent="0.2">
      <c r="A781" s="57"/>
      <c r="B781" s="57"/>
    </row>
    <row r="782" spans="1:2" x14ac:dyDescent="0.2">
      <c r="A782" s="57"/>
      <c r="B782" s="57"/>
    </row>
    <row r="783" spans="1:2" x14ac:dyDescent="0.2">
      <c r="A783" s="57"/>
      <c r="B783" s="57"/>
    </row>
    <row r="784" spans="1:2" x14ac:dyDescent="0.2">
      <c r="A784" s="57"/>
      <c r="B784" s="57"/>
    </row>
    <row r="785" spans="1:2" x14ac:dyDescent="0.2">
      <c r="A785" s="57"/>
      <c r="B785" s="57"/>
    </row>
    <row r="786" spans="1:2" x14ac:dyDescent="0.2">
      <c r="A786" s="57"/>
      <c r="B786" s="57"/>
    </row>
    <row r="787" spans="1:2" x14ac:dyDescent="0.2">
      <c r="A787" s="57"/>
      <c r="B787" s="57"/>
    </row>
    <row r="788" spans="1:2" x14ac:dyDescent="0.2">
      <c r="A788" s="57"/>
      <c r="B788" s="57"/>
    </row>
    <row r="789" spans="1:2" x14ac:dyDescent="0.2">
      <c r="A789" s="57"/>
      <c r="B789" s="57"/>
    </row>
    <row r="790" spans="1:2" x14ac:dyDescent="0.2">
      <c r="A790" s="57"/>
      <c r="B790" s="57"/>
    </row>
    <row r="791" spans="1:2" x14ac:dyDescent="0.2">
      <c r="A791" s="57"/>
      <c r="B791" s="57"/>
    </row>
    <row r="792" spans="1:2" x14ac:dyDescent="0.2">
      <c r="A792" s="57"/>
      <c r="B792" s="57"/>
    </row>
    <row r="793" spans="1:2" x14ac:dyDescent="0.2">
      <c r="A793" s="57"/>
      <c r="B793" s="57"/>
    </row>
    <row r="794" spans="1:2" x14ac:dyDescent="0.2">
      <c r="A794" s="57"/>
      <c r="B794" s="57"/>
    </row>
    <row r="795" spans="1:2" x14ac:dyDescent="0.2">
      <c r="A795" s="57"/>
      <c r="B795" s="57"/>
    </row>
    <row r="796" spans="1:2" x14ac:dyDescent="0.2">
      <c r="A796" s="57"/>
      <c r="B796" s="57"/>
    </row>
    <row r="797" spans="1:2" x14ac:dyDescent="0.2">
      <c r="A797" s="57"/>
      <c r="B797" s="57"/>
    </row>
    <row r="798" spans="1:2" x14ac:dyDescent="0.2">
      <c r="A798" s="57"/>
      <c r="B798" s="57"/>
    </row>
    <row r="799" spans="1:2" x14ac:dyDescent="0.2">
      <c r="A799" s="57"/>
      <c r="B799" s="57"/>
    </row>
    <row r="800" spans="1:2" x14ac:dyDescent="0.2">
      <c r="A800" s="57"/>
      <c r="B800" s="57"/>
    </row>
    <row r="801" spans="1:2" x14ac:dyDescent="0.2">
      <c r="A801" s="57"/>
      <c r="B801" s="57"/>
    </row>
    <row r="802" spans="1:2" x14ac:dyDescent="0.2">
      <c r="A802" s="57"/>
      <c r="B802" s="57"/>
    </row>
    <row r="803" spans="1:2" x14ac:dyDescent="0.2">
      <c r="A803" s="57"/>
      <c r="B803" s="57"/>
    </row>
    <row r="804" spans="1:2" x14ac:dyDescent="0.2">
      <c r="A804" s="57"/>
      <c r="B804" s="57"/>
    </row>
    <row r="805" spans="1:2" x14ac:dyDescent="0.2">
      <c r="A805" s="57"/>
      <c r="B805" s="57"/>
    </row>
    <row r="806" spans="1:2" x14ac:dyDescent="0.2">
      <c r="A806" s="57"/>
      <c r="B806" s="57"/>
    </row>
    <row r="807" spans="1:2" x14ac:dyDescent="0.2">
      <c r="A807" s="57"/>
      <c r="B807" s="57"/>
    </row>
    <row r="808" spans="1:2" x14ac:dyDescent="0.2">
      <c r="A808" s="57"/>
      <c r="B808" s="57"/>
    </row>
    <row r="809" spans="1:2" x14ac:dyDescent="0.2">
      <c r="A809" s="57"/>
      <c r="B809" s="57"/>
    </row>
    <row r="810" spans="1:2" x14ac:dyDescent="0.2">
      <c r="A810" s="57"/>
      <c r="B810" s="57"/>
    </row>
    <row r="811" spans="1:2" x14ac:dyDescent="0.2">
      <c r="A811" s="57"/>
      <c r="B811" s="57"/>
    </row>
    <row r="812" spans="1:2" x14ac:dyDescent="0.2">
      <c r="A812" s="57"/>
      <c r="B812" s="57"/>
    </row>
    <row r="813" spans="1:2" x14ac:dyDescent="0.2">
      <c r="A813" s="57"/>
      <c r="B813" s="57"/>
    </row>
    <row r="814" spans="1:2" x14ac:dyDescent="0.2">
      <c r="A814" s="57"/>
      <c r="B814" s="57"/>
    </row>
    <row r="815" spans="1:2" x14ac:dyDescent="0.2">
      <c r="A815" s="57"/>
      <c r="B815" s="57"/>
    </row>
    <row r="816" spans="1:2" x14ac:dyDescent="0.2">
      <c r="A816" s="57"/>
      <c r="B816" s="57"/>
    </row>
    <row r="817" spans="1:2" x14ac:dyDescent="0.2">
      <c r="A817" s="57"/>
      <c r="B817" s="57"/>
    </row>
    <row r="818" spans="1:2" x14ac:dyDescent="0.2">
      <c r="A818" s="57"/>
      <c r="B818" s="57"/>
    </row>
    <row r="819" spans="1:2" x14ac:dyDescent="0.2">
      <c r="A819" s="57"/>
      <c r="B819" s="57"/>
    </row>
    <row r="820" spans="1:2" x14ac:dyDescent="0.2">
      <c r="A820" s="57"/>
      <c r="B820" s="57"/>
    </row>
    <row r="821" spans="1:2" x14ac:dyDescent="0.2">
      <c r="A821" s="57"/>
      <c r="B821" s="57"/>
    </row>
    <row r="822" spans="1:2" x14ac:dyDescent="0.2">
      <c r="A822" s="57"/>
      <c r="B822" s="57"/>
    </row>
    <row r="823" spans="1:2" x14ac:dyDescent="0.2">
      <c r="A823" s="57"/>
      <c r="B823" s="57"/>
    </row>
    <row r="824" spans="1:2" x14ac:dyDescent="0.2">
      <c r="A824" s="57"/>
      <c r="B824" s="57"/>
    </row>
    <row r="825" spans="1:2" x14ac:dyDescent="0.2">
      <c r="A825" s="57"/>
      <c r="B825" s="57"/>
    </row>
    <row r="826" spans="1:2" x14ac:dyDescent="0.2">
      <c r="A826" s="57"/>
      <c r="B826" s="57"/>
    </row>
    <row r="827" spans="1:2" x14ac:dyDescent="0.2">
      <c r="A827" s="57"/>
      <c r="B827" s="57"/>
    </row>
    <row r="828" spans="1:2" x14ac:dyDescent="0.2">
      <c r="A828" s="57"/>
      <c r="B828" s="57"/>
    </row>
    <row r="829" spans="1:2" x14ac:dyDescent="0.2">
      <c r="A829" s="57"/>
      <c r="B829" s="57"/>
    </row>
    <row r="830" spans="1:2" x14ac:dyDescent="0.2">
      <c r="A830" s="57"/>
      <c r="B830" s="57"/>
    </row>
    <row r="831" spans="1:2" x14ac:dyDescent="0.2">
      <c r="A831" s="57"/>
      <c r="B831" s="57"/>
    </row>
    <row r="832" spans="1:2" x14ac:dyDescent="0.2">
      <c r="A832" s="57"/>
      <c r="B832" s="57"/>
    </row>
    <row r="833" spans="1:2" x14ac:dyDescent="0.2">
      <c r="A833" s="57"/>
      <c r="B833" s="57"/>
    </row>
    <row r="834" spans="1:2" x14ac:dyDescent="0.2">
      <c r="A834" s="57"/>
      <c r="B834" s="57"/>
    </row>
    <row r="835" spans="1:2" x14ac:dyDescent="0.2">
      <c r="A835" s="57"/>
      <c r="B835" s="57"/>
    </row>
    <row r="836" spans="1:2" x14ac:dyDescent="0.2">
      <c r="A836" s="57"/>
      <c r="B836" s="57"/>
    </row>
    <row r="837" spans="1:2" x14ac:dyDescent="0.2">
      <c r="A837" s="57"/>
      <c r="B837" s="57"/>
    </row>
    <row r="838" spans="1:2" x14ac:dyDescent="0.2">
      <c r="A838" s="57"/>
      <c r="B838" s="57"/>
    </row>
    <row r="839" spans="1:2" x14ac:dyDescent="0.2">
      <c r="A839" s="57"/>
      <c r="B839" s="57"/>
    </row>
    <row r="840" spans="1:2" x14ac:dyDescent="0.2">
      <c r="A840" s="57"/>
      <c r="B840" s="57"/>
    </row>
    <row r="841" spans="1:2" x14ac:dyDescent="0.2">
      <c r="A841" s="57"/>
      <c r="B841" s="57"/>
    </row>
    <row r="842" spans="1:2" x14ac:dyDescent="0.2">
      <c r="A842" s="57"/>
      <c r="B842" s="57"/>
    </row>
    <row r="843" spans="1:2" x14ac:dyDescent="0.2">
      <c r="A843" s="57"/>
      <c r="B843" s="57"/>
    </row>
    <row r="844" spans="1:2" x14ac:dyDescent="0.2">
      <c r="A844" s="57"/>
      <c r="B844" s="57"/>
    </row>
    <row r="845" spans="1:2" x14ac:dyDescent="0.2">
      <c r="A845" s="57"/>
      <c r="B845" s="57"/>
    </row>
    <row r="846" spans="1:2" x14ac:dyDescent="0.2">
      <c r="A846" s="57"/>
      <c r="B846" s="57"/>
    </row>
    <row r="847" spans="1:2" x14ac:dyDescent="0.2">
      <c r="A847" s="57"/>
      <c r="B847" s="57"/>
    </row>
    <row r="848" spans="1:2" x14ac:dyDescent="0.2">
      <c r="A848" s="57"/>
      <c r="B848" s="57"/>
    </row>
    <row r="849" spans="1:2" x14ac:dyDescent="0.2">
      <c r="A849" s="57"/>
      <c r="B849" s="57"/>
    </row>
    <row r="850" spans="1:2" x14ac:dyDescent="0.2">
      <c r="A850" s="57"/>
      <c r="B850" s="57"/>
    </row>
    <row r="851" spans="1:2" x14ac:dyDescent="0.2">
      <c r="A851" s="57"/>
      <c r="B851" s="57"/>
    </row>
    <row r="852" spans="1:2" x14ac:dyDescent="0.2">
      <c r="A852" s="57"/>
      <c r="B852" s="57"/>
    </row>
    <row r="853" spans="1:2" x14ac:dyDescent="0.2">
      <c r="A853" s="57"/>
      <c r="B853" s="57"/>
    </row>
    <row r="854" spans="1:2" x14ac:dyDescent="0.2">
      <c r="A854" s="57"/>
      <c r="B854" s="57"/>
    </row>
    <row r="855" spans="1:2" x14ac:dyDescent="0.2">
      <c r="A855" s="57"/>
      <c r="B855" s="57"/>
    </row>
    <row r="856" spans="1:2" x14ac:dyDescent="0.2">
      <c r="A856" s="57"/>
      <c r="B856" s="57"/>
    </row>
    <row r="857" spans="1:2" x14ac:dyDescent="0.2">
      <c r="A857" s="57"/>
      <c r="B857" s="57"/>
    </row>
    <row r="858" spans="1:2" x14ac:dyDescent="0.2">
      <c r="A858" s="57"/>
      <c r="B858" s="57"/>
    </row>
    <row r="859" spans="1:2" x14ac:dyDescent="0.2">
      <c r="A859" s="57"/>
      <c r="B859" s="57"/>
    </row>
    <row r="860" spans="1:2" x14ac:dyDescent="0.2">
      <c r="A860" s="57"/>
      <c r="B860" s="57"/>
    </row>
    <row r="861" spans="1:2" x14ac:dyDescent="0.2">
      <c r="A861" s="57"/>
      <c r="B861" s="57"/>
    </row>
    <row r="862" spans="1:2" x14ac:dyDescent="0.2">
      <c r="A862" s="57"/>
      <c r="B862" s="57"/>
    </row>
    <row r="863" spans="1:2" x14ac:dyDescent="0.2">
      <c r="A863" s="57"/>
      <c r="B863" s="57"/>
    </row>
    <row r="864" spans="1:2" x14ac:dyDescent="0.2">
      <c r="A864" s="57"/>
      <c r="B864" s="57"/>
    </row>
    <row r="865" spans="1:2" x14ac:dyDescent="0.2">
      <c r="A865" s="57"/>
      <c r="B865" s="57"/>
    </row>
    <row r="866" spans="1:2" x14ac:dyDescent="0.2">
      <c r="A866" s="57"/>
      <c r="B866" s="57"/>
    </row>
    <row r="867" spans="1:2" x14ac:dyDescent="0.2">
      <c r="A867" s="57"/>
      <c r="B867" s="57"/>
    </row>
    <row r="868" spans="1:2" x14ac:dyDescent="0.2">
      <c r="A868" s="57"/>
      <c r="B868" s="57"/>
    </row>
    <row r="869" spans="1:2" x14ac:dyDescent="0.2">
      <c r="A869" s="57"/>
      <c r="B869" s="57"/>
    </row>
    <row r="870" spans="1:2" x14ac:dyDescent="0.2">
      <c r="A870" s="57"/>
      <c r="B870" s="57"/>
    </row>
    <row r="871" spans="1:2" x14ac:dyDescent="0.2">
      <c r="A871" s="57"/>
      <c r="B871" s="57"/>
    </row>
    <row r="872" spans="1:2" x14ac:dyDescent="0.2">
      <c r="A872" s="57"/>
      <c r="B872" s="57"/>
    </row>
    <row r="873" spans="1:2" x14ac:dyDescent="0.2">
      <c r="A873" s="57"/>
      <c r="B873" s="57"/>
    </row>
    <row r="874" spans="1:2" x14ac:dyDescent="0.2">
      <c r="A874" s="57"/>
      <c r="B874" s="57"/>
    </row>
    <row r="875" spans="1:2" x14ac:dyDescent="0.2">
      <c r="A875" s="57"/>
      <c r="B875" s="57"/>
    </row>
    <row r="876" spans="1:2" x14ac:dyDescent="0.2">
      <c r="A876" s="57"/>
      <c r="B876" s="57"/>
    </row>
    <row r="877" spans="1:2" x14ac:dyDescent="0.2">
      <c r="A877" s="57"/>
      <c r="B877" s="57"/>
    </row>
    <row r="878" spans="1:2" x14ac:dyDescent="0.2">
      <c r="A878" s="57"/>
      <c r="B878" s="57"/>
    </row>
    <row r="879" spans="1:2" x14ac:dyDescent="0.2">
      <c r="A879" s="57"/>
      <c r="B879" s="57"/>
    </row>
    <row r="880" spans="1:2" x14ac:dyDescent="0.2">
      <c r="A880" s="57"/>
      <c r="B880" s="57"/>
    </row>
    <row r="881" spans="1:2" x14ac:dyDescent="0.2">
      <c r="A881" s="57"/>
      <c r="B881" s="57"/>
    </row>
    <row r="882" spans="1:2" x14ac:dyDescent="0.2">
      <c r="A882" s="57"/>
      <c r="B882" s="57"/>
    </row>
    <row r="883" spans="1:2" x14ac:dyDescent="0.2">
      <c r="A883" s="57"/>
      <c r="B883" s="57"/>
    </row>
    <row r="884" spans="1:2" x14ac:dyDescent="0.2">
      <c r="A884" s="57"/>
      <c r="B884" s="57"/>
    </row>
    <row r="885" spans="1:2" x14ac:dyDescent="0.2">
      <c r="A885" s="57"/>
      <c r="B885" s="57"/>
    </row>
    <row r="886" spans="1:2" x14ac:dyDescent="0.2">
      <c r="A886" s="57"/>
      <c r="B886" s="57"/>
    </row>
    <row r="887" spans="1:2" x14ac:dyDescent="0.2">
      <c r="A887" s="57"/>
      <c r="B887" s="57"/>
    </row>
    <row r="888" spans="1:2" x14ac:dyDescent="0.2">
      <c r="A888" s="57"/>
      <c r="B888" s="57"/>
    </row>
    <row r="889" spans="1:2" x14ac:dyDescent="0.2">
      <c r="A889" s="57"/>
      <c r="B889" s="57"/>
    </row>
    <row r="890" spans="1:2" x14ac:dyDescent="0.2">
      <c r="A890" s="57"/>
      <c r="B890" s="57"/>
    </row>
    <row r="891" spans="1:2" x14ac:dyDescent="0.2">
      <c r="A891" s="57"/>
      <c r="B891" s="57"/>
    </row>
    <row r="892" spans="1:2" x14ac:dyDescent="0.2">
      <c r="A892" s="57"/>
      <c r="B892" s="57"/>
    </row>
    <row r="893" spans="1:2" x14ac:dyDescent="0.2">
      <c r="A893" s="57"/>
      <c r="B893" s="57"/>
    </row>
    <row r="894" spans="1:2" x14ac:dyDescent="0.2">
      <c r="A894" s="57"/>
      <c r="B894" s="57"/>
    </row>
    <row r="895" spans="1:2" x14ac:dyDescent="0.2">
      <c r="A895" s="57"/>
      <c r="B895" s="57"/>
    </row>
    <row r="896" spans="1:2" x14ac:dyDescent="0.2">
      <c r="A896" s="57"/>
      <c r="B896" s="57"/>
    </row>
    <row r="897" spans="1:2" x14ac:dyDescent="0.2">
      <c r="A897" s="57"/>
      <c r="B897" s="57"/>
    </row>
    <row r="898" spans="1:2" x14ac:dyDescent="0.2">
      <c r="A898" s="57"/>
      <c r="B898" s="57"/>
    </row>
    <row r="899" spans="1:2" x14ac:dyDescent="0.2">
      <c r="A899" s="57"/>
      <c r="B899" s="57"/>
    </row>
    <row r="900" spans="1:2" x14ac:dyDescent="0.2">
      <c r="A900" s="57"/>
      <c r="B900" s="57"/>
    </row>
    <row r="901" spans="1:2" x14ac:dyDescent="0.2">
      <c r="A901" s="57"/>
      <c r="B901" s="57"/>
    </row>
    <row r="902" spans="1:2" x14ac:dyDescent="0.2">
      <c r="A902" s="57"/>
      <c r="B902" s="57"/>
    </row>
    <row r="903" spans="1:2" x14ac:dyDescent="0.2">
      <c r="A903" s="57"/>
      <c r="B903" s="57"/>
    </row>
    <row r="904" spans="1:2" x14ac:dyDescent="0.2">
      <c r="A904" s="57"/>
      <c r="B904" s="57"/>
    </row>
    <row r="905" spans="1:2" x14ac:dyDescent="0.2">
      <c r="A905" s="57"/>
      <c r="B905" s="57"/>
    </row>
    <row r="906" spans="1:2" x14ac:dyDescent="0.2">
      <c r="A906" s="57"/>
      <c r="B906" s="57"/>
    </row>
    <row r="907" spans="1:2" x14ac:dyDescent="0.2">
      <c r="A907" s="57"/>
      <c r="B907" s="57"/>
    </row>
    <row r="908" spans="1:2" x14ac:dyDescent="0.2">
      <c r="A908" s="57"/>
      <c r="B908" s="57"/>
    </row>
    <row r="909" spans="1:2" x14ac:dyDescent="0.2">
      <c r="A909" s="57"/>
      <c r="B909" s="57"/>
    </row>
    <row r="910" spans="1:2" x14ac:dyDescent="0.2">
      <c r="A910" s="57"/>
      <c r="B910" s="57"/>
    </row>
    <row r="911" spans="1:2" x14ac:dyDescent="0.2">
      <c r="A911" s="57"/>
      <c r="B911" s="57"/>
    </row>
    <row r="912" spans="1:2" x14ac:dyDescent="0.2">
      <c r="A912" s="57"/>
      <c r="B912" s="57"/>
    </row>
    <row r="913" spans="1:2" x14ac:dyDescent="0.2">
      <c r="A913" s="57"/>
      <c r="B913" s="57"/>
    </row>
    <row r="914" spans="1:2" x14ac:dyDescent="0.2">
      <c r="A914" s="57"/>
      <c r="B914" s="57"/>
    </row>
    <row r="915" spans="1:2" x14ac:dyDescent="0.2">
      <c r="A915" s="57"/>
      <c r="B915" s="57"/>
    </row>
    <row r="916" spans="1:2" x14ac:dyDescent="0.2">
      <c r="A916" s="57"/>
      <c r="B916" s="57"/>
    </row>
    <row r="917" spans="1:2" x14ac:dyDescent="0.2">
      <c r="A917" s="57"/>
      <c r="B917" s="57"/>
    </row>
    <row r="918" spans="1:2" x14ac:dyDescent="0.2">
      <c r="A918" s="57"/>
      <c r="B918" s="57"/>
    </row>
    <row r="919" spans="1:2" x14ac:dyDescent="0.2">
      <c r="A919" s="57"/>
      <c r="B919" s="57"/>
    </row>
    <row r="920" spans="1:2" x14ac:dyDescent="0.2">
      <c r="A920" s="57"/>
      <c r="B920" s="57"/>
    </row>
    <row r="921" spans="1:2" x14ac:dyDescent="0.2">
      <c r="A921" s="57"/>
      <c r="B921" s="57"/>
    </row>
    <row r="922" spans="1:2" x14ac:dyDescent="0.2">
      <c r="A922" s="57"/>
      <c r="B922" s="57"/>
    </row>
    <row r="923" spans="1:2" x14ac:dyDescent="0.2">
      <c r="A923" s="57"/>
      <c r="B923" s="57"/>
    </row>
    <row r="924" spans="1:2" x14ac:dyDescent="0.2">
      <c r="A924" s="57"/>
      <c r="B924" s="57"/>
    </row>
    <row r="925" spans="1:2" x14ac:dyDescent="0.2">
      <c r="A925" s="57"/>
      <c r="B925" s="57"/>
    </row>
    <row r="926" spans="1:2" x14ac:dyDescent="0.2">
      <c r="A926" s="57"/>
      <c r="B926" s="57"/>
    </row>
    <row r="927" spans="1:2" x14ac:dyDescent="0.2">
      <c r="A927" s="57"/>
      <c r="B927" s="57"/>
    </row>
    <row r="928" spans="1:2" x14ac:dyDescent="0.2">
      <c r="A928" s="57"/>
      <c r="B928" s="57"/>
    </row>
    <row r="929" spans="1:2" x14ac:dyDescent="0.2">
      <c r="A929" s="57"/>
      <c r="B929" s="57"/>
    </row>
    <row r="930" spans="1:2" x14ac:dyDescent="0.2">
      <c r="A930" s="57"/>
      <c r="B930" s="57"/>
    </row>
    <row r="931" spans="1:2" x14ac:dyDescent="0.2">
      <c r="A931" s="57"/>
      <c r="B931" s="57"/>
    </row>
    <row r="932" spans="1:2" x14ac:dyDescent="0.2">
      <c r="A932" s="57"/>
      <c r="B932" s="57"/>
    </row>
    <row r="933" spans="1:2" x14ac:dyDescent="0.2">
      <c r="A933" s="57"/>
      <c r="B933" s="57"/>
    </row>
    <row r="934" spans="1:2" x14ac:dyDescent="0.2">
      <c r="A934" s="57"/>
      <c r="B934" s="57"/>
    </row>
    <row r="935" spans="1:2" x14ac:dyDescent="0.2">
      <c r="A935" s="57"/>
      <c r="B935" s="57"/>
    </row>
    <row r="936" spans="1:2" x14ac:dyDescent="0.2">
      <c r="A936" s="57"/>
      <c r="B936" s="57"/>
    </row>
    <row r="937" spans="1:2" x14ac:dyDescent="0.2">
      <c r="A937" s="57"/>
      <c r="B937" s="57"/>
    </row>
    <row r="938" spans="1:2" x14ac:dyDescent="0.2">
      <c r="A938" s="57"/>
      <c r="B938" s="57"/>
    </row>
    <row r="939" spans="1:2" x14ac:dyDescent="0.2">
      <c r="A939" s="57"/>
      <c r="B939" s="57"/>
    </row>
    <row r="940" spans="1:2" x14ac:dyDescent="0.2">
      <c r="A940" s="57"/>
      <c r="B940" s="57"/>
    </row>
    <row r="941" spans="1:2" x14ac:dyDescent="0.2">
      <c r="A941" s="57"/>
      <c r="B941" s="57"/>
    </row>
    <row r="942" spans="1:2" x14ac:dyDescent="0.2">
      <c r="A942" s="57"/>
      <c r="B942" s="57"/>
    </row>
    <row r="943" spans="1:2" x14ac:dyDescent="0.2">
      <c r="A943" s="57"/>
      <c r="B943" s="57"/>
    </row>
    <row r="944" spans="1:2" x14ac:dyDescent="0.2">
      <c r="A944" s="57"/>
      <c r="B944" s="57"/>
    </row>
    <row r="945" spans="1:2" x14ac:dyDescent="0.2">
      <c r="A945" s="57"/>
      <c r="B945" s="57"/>
    </row>
    <row r="946" spans="1:2" x14ac:dyDescent="0.2">
      <c r="A946" s="57"/>
      <c r="B946" s="57"/>
    </row>
    <row r="947" spans="1:2" x14ac:dyDescent="0.2">
      <c r="A947" s="57"/>
      <c r="B947" s="57"/>
    </row>
    <row r="948" spans="1:2" x14ac:dyDescent="0.2">
      <c r="A948" s="57"/>
      <c r="B948" s="57"/>
    </row>
    <row r="949" spans="1:2" x14ac:dyDescent="0.2">
      <c r="A949" s="57"/>
      <c r="B949" s="57"/>
    </row>
    <row r="950" spans="1:2" x14ac:dyDescent="0.2">
      <c r="A950" s="57"/>
      <c r="B950" s="57"/>
    </row>
    <row r="951" spans="1:2" x14ac:dyDescent="0.2">
      <c r="A951" s="57"/>
      <c r="B951" s="57"/>
    </row>
    <row r="952" spans="1:2" x14ac:dyDescent="0.2">
      <c r="A952" s="57"/>
      <c r="B952" s="57"/>
    </row>
    <row r="953" spans="1:2" x14ac:dyDescent="0.2">
      <c r="A953" s="57"/>
      <c r="B953" s="57"/>
    </row>
    <row r="954" spans="1:2" x14ac:dyDescent="0.2">
      <c r="A954" s="57"/>
      <c r="B954" s="57"/>
    </row>
    <row r="955" spans="1:2" x14ac:dyDescent="0.2">
      <c r="A955" s="57"/>
      <c r="B955" s="57"/>
    </row>
    <row r="956" spans="1:2" x14ac:dyDescent="0.2">
      <c r="A956" s="57"/>
      <c r="B956" s="57"/>
    </row>
    <row r="957" spans="1:2" x14ac:dyDescent="0.2">
      <c r="A957" s="57"/>
      <c r="B957" s="57"/>
    </row>
    <row r="958" spans="1:2" x14ac:dyDescent="0.2">
      <c r="A958" s="57"/>
      <c r="B958" s="57"/>
    </row>
    <row r="959" spans="1:2" x14ac:dyDescent="0.2">
      <c r="A959" s="57"/>
      <c r="B959" s="57"/>
    </row>
    <row r="960" spans="1:2" x14ac:dyDescent="0.2">
      <c r="A960" s="57"/>
      <c r="B960" s="57"/>
    </row>
    <row r="961" spans="1:2" x14ac:dyDescent="0.2">
      <c r="A961" s="57"/>
      <c r="B961" s="57"/>
    </row>
    <row r="962" spans="1:2" x14ac:dyDescent="0.2">
      <c r="A962" s="57"/>
      <c r="B962" s="57"/>
    </row>
    <row r="963" spans="1:2" x14ac:dyDescent="0.2">
      <c r="A963" s="57"/>
      <c r="B963" s="57"/>
    </row>
    <row r="964" spans="1:2" x14ac:dyDescent="0.2">
      <c r="A964" s="57"/>
      <c r="B964" s="57"/>
    </row>
    <row r="965" spans="1:2" x14ac:dyDescent="0.2">
      <c r="A965" s="57"/>
      <c r="B965" s="57"/>
    </row>
    <row r="966" spans="1:2" x14ac:dyDescent="0.2">
      <c r="A966" s="57"/>
      <c r="B966" s="57"/>
    </row>
    <row r="967" spans="1:2" x14ac:dyDescent="0.2">
      <c r="A967" s="57"/>
      <c r="B967" s="57"/>
    </row>
    <row r="968" spans="1:2" x14ac:dyDescent="0.2">
      <c r="A968" s="57"/>
      <c r="B968" s="57"/>
    </row>
    <row r="969" spans="1:2" x14ac:dyDescent="0.2">
      <c r="A969" s="57"/>
      <c r="B969" s="57"/>
    </row>
    <row r="970" spans="1:2" x14ac:dyDescent="0.2">
      <c r="A970" s="57"/>
      <c r="B970" s="57"/>
    </row>
    <row r="971" spans="1:2" x14ac:dyDescent="0.2">
      <c r="A971" s="57"/>
      <c r="B971" s="57"/>
    </row>
    <row r="972" spans="1:2" x14ac:dyDescent="0.2">
      <c r="A972" s="57"/>
      <c r="B972" s="57"/>
    </row>
    <row r="973" spans="1:2" x14ac:dyDescent="0.2">
      <c r="A973" s="57"/>
      <c r="B973" s="57"/>
    </row>
    <row r="974" spans="1:2" x14ac:dyDescent="0.2">
      <c r="A974" s="57"/>
      <c r="B974" s="57"/>
    </row>
    <row r="975" spans="1:2" x14ac:dyDescent="0.2">
      <c r="A975" s="57"/>
      <c r="B975" s="57"/>
    </row>
    <row r="976" spans="1:2" x14ac:dyDescent="0.2">
      <c r="A976" s="57"/>
      <c r="B976" s="57"/>
    </row>
    <row r="977" spans="1:2" x14ac:dyDescent="0.2">
      <c r="A977" s="57"/>
      <c r="B977" s="57"/>
    </row>
    <row r="978" spans="1:2" x14ac:dyDescent="0.2">
      <c r="A978" s="57"/>
      <c r="B978" s="57"/>
    </row>
    <row r="979" spans="1:2" x14ac:dyDescent="0.2">
      <c r="A979" s="57"/>
      <c r="B979" s="57"/>
    </row>
    <row r="980" spans="1:2" x14ac:dyDescent="0.2">
      <c r="A980" s="57"/>
      <c r="B980" s="57"/>
    </row>
    <row r="981" spans="1:2" x14ac:dyDescent="0.2">
      <c r="A981" s="57"/>
      <c r="B981" s="57"/>
    </row>
    <row r="982" spans="1:2" x14ac:dyDescent="0.2">
      <c r="A982" s="57"/>
      <c r="B982" s="57"/>
    </row>
    <row r="983" spans="1:2" x14ac:dyDescent="0.2">
      <c r="A983" s="57"/>
      <c r="B983" s="57"/>
    </row>
    <row r="984" spans="1:2" x14ac:dyDescent="0.2">
      <c r="A984" s="57"/>
      <c r="B984" s="57"/>
    </row>
    <row r="985" spans="1:2" x14ac:dyDescent="0.2">
      <c r="A985" s="57"/>
      <c r="B985" s="57"/>
    </row>
    <row r="986" spans="1:2" x14ac:dyDescent="0.2">
      <c r="A986" s="57"/>
      <c r="B986" s="57"/>
    </row>
    <row r="987" spans="1:2" x14ac:dyDescent="0.2">
      <c r="A987" s="57"/>
      <c r="B987" s="57"/>
    </row>
    <row r="988" spans="1:2" x14ac:dyDescent="0.2">
      <c r="A988" s="57"/>
      <c r="B988" s="57"/>
    </row>
    <row r="989" spans="1:2" x14ac:dyDescent="0.2">
      <c r="A989" s="57"/>
      <c r="B989" s="57"/>
    </row>
    <row r="990" spans="1:2" x14ac:dyDescent="0.2">
      <c r="A990" s="57"/>
      <c r="B990" s="57"/>
    </row>
    <row r="991" spans="1:2" x14ac:dyDescent="0.2">
      <c r="A991" s="57"/>
      <c r="B991" s="57"/>
    </row>
    <row r="992" spans="1:2" x14ac:dyDescent="0.2">
      <c r="A992" s="57"/>
      <c r="B992" s="57"/>
    </row>
    <row r="993" spans="1:2" x14ac:dyDescent="0.2">
      <c r="A993" s="57"/>
      <c r="B993" s="57"/>
    </row>
    <row r="994" spans="1:2" x14ac:dyDescent="0.2">
      <c r="A994" s="57"/>
      <c r="B994" s="57"/>
    </row>
    <row r="995" spans="1:2" x14ac:dyDescent="0.2">
      <c r="A995" s="57"/>
      <c r="B995" s="57"/>
    </row>
    <row r="996" spans="1:2" x14ac:dyDescent="0.2">
      <c r="A996" s="57"/>
      <c r="B996" s="57"/>
    </row>
    <row r="997" spans="1:2" x14ac:dyDescent="0.2">
      <c r="A997" s="57"/>
      <c r="B997" s="57"/>
    </row>
    <row r="998" spans="1:2" x14ac:dyDescent="0.2">
      <c r="A998" s="57"/>
      <c r="B998" s="57"/>
    </row>
    <row r="999" spans="1:2" x14ac:dyDescent="0.2">
      <c r="A999" s="57"/>
      <c r="B999" s="57"/>
    </row>
    <row r="1000" spans="1:2" x14ac:dyDescent="0.2">
      <c r="A1000" s="57"/>
      <c r="B1000" s="57"/>
    </row>
    <row r="1001" spans="1:2" x14ac:dyDescent="0.2">
      <c r="A1001" s="57"/>
      <c r="B1001" s="57"/>
    </row>
    <row r="1002" spans="1:2" x14ac:dyDescent="0.2">
      <c r="A1002" s="57"/>
      <c r="B1002" s="57"/>
    </row>
    <row r="1003" spans="1:2" x14ac:dyDescent="0.2">
      <c r="A1003" s="57"/>
      <c r="B1003" s="57"/>
    </row>
    <row r="1004" spans="1:2" x14ac:dyDescent="0.2">
      <c r="A1004" s="57"/>
      <c r="B1004" s="57"/>
    </row>
    <row r="1005" spans="1:2" x14ac:dyDescent="0.2">
      <c r="A1005" s="57"/>
      <c r="B1005" s="57"/>
    </row>
    <row r="1006" spans="1:2" x14ac:dyDescent="0.2">
      <c r="A1006" s="57"/>
      <c r="B1006" s="57"/>
    </row>
    <row r="1007" spans="1:2" x14ac:dyDescent="0.2">
      <c r="A1007" s="57"/>
      <c r="B1007" s="57"/>
    </row>
    <row r="1008" spans="1:2" x14ac:dyDescent="0.2">
      <c r="A1008" s="57"/>
      <c r="B1008" s="57"/>
    </row>
    <row r="1009" spans="1:2" x14ac:dyDescent="0.2">
      <c r="A1009" s="57"/>
      <c r="B1009" s="57"/>
    </row>
    <row r="1010" spans="1:2" x14ac:dyDescent="0.2">
      <c r="A1010" s="57"/>
      <c r="B1010" s="57"/>
    </row>
    <row r="1011" spans="1:2" x14ac:dyDescent="0.2">
      <c r="A1011" s="57"/>
      <c r="B1011" s="57"/>
    </row>
    <row r="1012" spans="1:2" x14ac:dyDescent="0.2">
      <c r="A1012" s="57"/>
      <c r="B1012" s="57"/>
    </row>
    <row r="1013" spans="1:2" x14ac:dyDescent="0.2">
      <c r="A1013" s="57"/>
      <c r="B1013" s="57"/>
    </row>
    <row r="1014" spans="1:2" x14ac:dyDescent="0.2">
      <c r="A1014" s="57"/>
      <c r="B1014" s="57"/>
    </row>
    <row r="1015" spans="1:2" x14ac:dyDescent="0.2">
      <c r="A1015" s="57"/>
      <c r="B1015" s="57"/>
    </row>
    <row r="1016" spans="1:2" x14ac:dyDescent="0.2">
      <c r="A1016" s="57"/>
      <c r="B1016" s="57"/>
    </row>
    <row r="1017" spans="1:2" x14ac:dyDescent="0.2">
      <c r="A1017" s="57"/>
      <c r="B1017" s="57"/>
    </row>
    <row r="1018" spans="1:2" x14ac:dyDescent="0.2">
      <c r="A1018" s="57"/>
      <c r="B1018" s="57"/>
    </row>
    <row r="1019" spans="1:2" x14ac:dyDescent="0.2">
      <c r="A1019" s="57"/>
      <c r="B1019" s="57"/>
    </row>
    <row r="1020" spans="1:2" x14ac:dyDescent="0.2">
      <c r="A1020" s="57"/>
      <c r="B1020" s="57"/>
    </row>
  </sheetData>
  <mergeCells count="1">
    <mergeCell ref="U6:V6"/>
  </mergeCells>
  <conditionalFormatting sqref="H11:J40">
    <cfRule type="expression" dxfId="3" priority="1">
      <formula>ISERROR($H11)</formula>
    </cfRule>
  </conditionalFormatting>
  <dataValidations count="1">
    <dataValidation type="list" allowBlank="1" showInputMessage="1" showErrorMessage="1" sqref="L14">
      <formula1>$L$5:$L$11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20"/>
  <sheetViews>
    <sheetView zoomScale="90" zoomScaleNormal="90" workbookViewId="0">
      <selection activeCell="B2" sqref="B2"/>
    </sheetView>
  </sheetViews>
  <sheetFormatPr defaultColWidth="11.42578125" defaultRowHeight="12.75" x14ac:dyDescent="0.2"/>
  <cols>
    <col min="1" max="2" width="16.140625" style="3" customWidth="1"/>
    <col min="3" max="3" width="17.5703125" style="3" customWidth="1"/>
    <col min="4" max="5" width="5.7109375" style="1" customWidth="1"/>
    <col min="6" max="6" width="7.5703125" style="3" bestFit="1" customWidth="1"/>
    <col min="7" max="7" width="18.42578125" style="1" customWidth="1"/>
    <col min="8" max="10" width="11.42578125" style="1"/>
    <col min="11" max="11" width="5.85546875" style="1" customWidth="1"/>
    <col min="12" max="12" width="17.85546875" style="1" bestFit="1" customWidth="1"/>
    <col min="13" max="14" width="14.140625" style="1" bestFit="1" customWidth="1"/>
    <col min="15" max="18" width="11.42578125" style="1"/>
    <col min="19" max="19" width="5.5703125" style="1" customWidth="1"/>
    <col min="20" max="20" width="5.140625" style="1" customWidth="1"/>
    <col min="21" max="21" width="15.42578125" style="37" customWidth="1"/>
    <col min="22" max="22" width="13.140625" style="1" bestFit="1" customWidth="1"/>
    <col min="23" max="16384" width="11.42578125" style="1"/>
  </cols>
  <sheetData>
    <row r="2" spans="1:22" ht="33" customHeight="1" x14ac:dyDescent="0.2">
      <c r="A2" s="56" t="s">
        <v>39</v>
      </c>
      <c r="B2" s="58" t="s">
        <v>97</v>
      </c>
      <c r="C2" s="58" t="s">
        <v>100</v>
      </c>
      <c r="E2" s="55" t="str">
        <f>"Fréquence des "&amp;tblDataAccenture[[#Headers],[Taux de rentabilité ACCENTURE]]</f>
        <v>Fréquence des Taux de rentabilité ACCENTURE</v>
      </c>
      <c r="G2" s="26" t="s">
        <v>26</v>
      </c>
      <c r="H2" s="31">
        <f>V18</f>
        <v>-6.1092316899728799E-2</v>
      </c>
      <c r="L2" s="34" t="s">
        <v>10</v>
      </c>
      <c r="M2" s="35">
        <f>COUNT(tblDataAccenture[Taux de rentabilité ACCENTURE])</f>
        <v>51</v>
      </c>
      <c r="O2" s="36"/>
    </row>
    <row r="3" spans="1:22" x14ac:dyDescent="0.2">
      <c r="A3" s="57">
        <v>41974</v>
      </c>
      <c r="B3" s="20">
        <v>86.190002000000007</v>
      </c>
      <c r="C3" s="20"/>
      <c r="G3" s="26" t="s">
        <v>27</v>
      </c>
      <c r="H3" s="31">
        <f>V13</f>
        <v>0.10512820256097184</v>
      </c>
      <c r="I3" s="25"/>
      <c r="J3" s="25"/>
      <c r="M3" s="3"/>
    </row>
    <row r="4" spans="1:22" x14ac:dyDescent="0.2">
      <c r="A4" s="57">
        <v>41981</v>
      </c>
      <c r="B4" s="20">
        <v>81.900002000000001</v>
      </c>
      <c r="C4" s="61">
        <f>(tblDataAccenture[[#This Row],[Côte]]-B3)/B3</f>
        <v>-4.9773754501131189E-2</v>
      </c>
      <c r="G4" s="19" t="s">
        <v>23</v>
      </c>
      <c r="H4" s="18">
        <f>H3-H2</f>
        <v>0.16622051946070066</v>
      </c>
      <c r="I4" s="25"/>
      <c r="J4" s="25"/>
      <c r="L4" s="39" t="s">
        <v>13</v>
      </c>
      <c r="M4" s="40" t="s">
        <v>12</v>
      </c>
    </row>
    <row r="5" spans="1:22" x14ac:dyDescent="0.2">
      <c r="A5" s="57">
        <v>41988</v>
      </c>
      <c r="B5" s="20">
        <v>90.510002</v>
      </c>
      <c r="C5" s="61">
        <f>(tblDataAccenture[[#This Row],[Côte]]-B4)/B4</f>
        <v>0.10512820256097184</v>
      </c>
      <c r="G5" s="19" t="s">
        <v>24</v>
      </c>
      <c r="H5" s="18">
        <f>H4/M14</f>
        <v>2.3745788494385807E-2</v>
      </c>
      <c r="I5" s="25"/>
      <c r="J5" s="25"/>
      <c r="L5" s="41" t="s">
        <v>14</v>
      </c>
      <c r="M5" s="42">
        <f>INT(SQRT(M2)+1)</f>
        <v>8</v>
      </c>
    </row>
    <row r="6" spans="1:22" x14ac:dyDescent="0.2">
      <c r="A6" s="57">
        <v>41995</v>
      </c>
      <c r="B6" s="20">
        <v>91.260002</v>
      </c>
      <c r="C6" s="61">
        <f>(tblDataAccenture[[#This Row],[Côte]]-B5)/B5</f>
        <v>8.2863770127858359E-3</v>
      </c>
      <c r="G6" s="27" t="s">
        <v>38</v>
      </c>
      <c r="H6" s="35">
        <f>COUNTIFS(tblDataAccenture[Taux de rentabilité ACCENTURE],"&lt;="&amp;H3,tblDataAccenture[Taux de rentabilité ACCENTURE],"&gt;="&amp;H2)</f>
        <v>51</v>
      </c>
      <c r="I6" s="25"/>
      <c r="J6" s="25"/>
      <c r="L6" s="43" t="s">
        <v>11</v>
      </c>
      <c r="M6" s="44">
        <f>INT(1 + LOG(M2,2))</f>
        <v>6</v>
      </c>
      <c r="U6" s="45" t="s">
        <v>31</v>
      </c>
      <c r="V6" s="45"/>
    </row>
    <row r="7" spans="1:22" x14ac:dyDescent="0.2">
      <c r="A7" s="57">
        <v>42002</v>
      </c>
      <c r="B7" s="20">
        <v>88.839995999999999</v>
      </c>
      <c r="C7" s="61">
        <f>(tblDataAccenture[[#This Row],[Côte]]-B6)/B6</f>
        <v>-2.6517707067330556E-2</v>
      </c>
      <c r="G7" s="65" t="s">
        <v>41</v>
      </c>
      <c r="H7" s="62">
        <f>_xlfn.STDEV.S(tblDataAccenture[Taux de rentabilité ACCENTURE])</f>
        <v>2.8626785312529039E-2</v>
      </c>
      <c r="L7" s="43" t="s">
        <v>15</v>
      </c>
      <c r="M7" s="44">
        <f>INT(2*M2^(1/3))</f>
        <v>7</v>
      </c>
      <c r="N7" s="3"/>
    </row>
    <row r="8" spans="1:22" x14ac:dyDescent="0.2">
      <c r="A8" s="57">
        <v>42009</v>
      </c>
      <c r="B8" s="20">
        <v>89.779999000000004</v>
      </c>
      <c r="C8" s="61">
        <f>(tblDataAccenture[[#This Row],[Côte]]-B7)/B7</f>
        <v>1.0580853695671084E-2</v>
      </c>
      <c r="G8" s="65" t="s">
        <v>96</v>
      </c>
      <c r="H8" s="62">
        <f>AVERAGE(tblDataAccenture[Taux de rentabilité ACCENTURE])</f>
        <v>4.7307432982497807E-3</v>
      </c>
      <c r="L8" s="43" t="s">
        <v>16</v>
      </c>
      <c r="M8" s="44">
        <f>INT(1+LOG(M2,2)+LOG(1+P8/R8,2))</f>
        <v>8</v>
      </c>
      <c r="N8" s="46" t="s">
        <v>25</v>
      </c>
      <c r="O8" s="47" t="s">
        <v>19</v>
      </c>
      <c r="P8" s="48">
        <f>ABS(SKEW(tblDataAccenture[Taux de rentabilité ACCENTURE]))</f>
        <v>0.54142419316078927</v>
      </c>
      <c r="Q8" s="47" t="s">
        <v>18</v>
      </c>
      <c r="R8" s="48">
        <f>SQRT((6*(M2-2))/((M2+1)*(M2+3)))</f>
        <v>0.32357511446471698</v>
      </c>
      <c r="U8" s="37" t="s">
        <v>30</v>
      </c>
      <c r="V8" s="1">
        <f>COUNT(tblDataAccenture[Taux de rentabilité ACCENTURE])</f>
        <v>51</v>
      </c>
    </row>
    <row r="9" spans="1:22" x14ac:dyDescent="0.2">
      <c r="A9" s="57">
        <v>42016</v>
      </c>
      <c r="B9" s="20">
        <v>88.889999000000003</v>
      </c>
      <c r="C9" s="61">
        <f>(tblDataAccenture[[#This Row],[Côte]]-B8)/B8</f>
        <v>-9.9131210727681184E-3</v>
      </c>
      <c r="L9" s="43" t="s">
        <v>17</v>
      </c>
      <c r="M9" s="44">
        <f>INT(3.5*_xlfn.STDEV.S(tblDataAccenture[Taux de rentabilité ACCENTURE])/(M2^(1/3)))</f>
        <v>0</v>
      </c>
      <c r="N9" s="3"/>
      <c r="U9" s="37" t="s">
        <v>3</v>
      </c>
      <c r="V9" s="15">
        <f>V15-V17</f>
        <v>2.6521632119437966E-2</v>
      </c>
    </row>
    <row r="10" spans="1:22" x14ac:dyDescent="0.2">
      <c r="A10" s="57">
        <v>42024</v>
      </c>
      <c r="B10" s="20">
        <v>89.220000999999996</v>
      </c>
      <c r="C10" s="61">
        <f>(tblDataAccenture[[#This Row],[Côte]]-B9)/B9</f>
        <v>3.7124761358135827E-3</v>
      </c>
      <c r="F10" s="21" t="s">
        <v>8</v>
      </c>
      <c r="G10" s="22" t="s">
        <v>9</v>
      </c>
      <c r="H10" s="22" t="s">
        <v>35</v>
      </c>
      <c r="I10" s="22" t="s">
        <v>36</v>
      </c>
      <c r="J10" s="12" t="s">
        <v>37</v>
      </c>
      <c r="L10" s="49" t="s">
        <v>21</v>
      </c>
      <c r="M10" s="44">
        <f>INT(2*P10/(M2^(1/3)))</f>
        <v>0</v>
      </c>
      <c r="N10" s="46" t="s">
        <v>25</v>
      </c>
      <c r="O10" s="47" t="s">
        <v>20</v>
      </c>
      <c r="P10" s="48">
        <f>_xlfn.QUARTILE.INC(tblDataAccenture[Taux de rentabilité ACCENTURE],3) - _xlfn.QUARTILE.INC(tblDataAccenture[Taux de rentabilité ACCENTURE],1)</f>
        <v>2.6521632119437966E-2</v>
      </c>
      <c r="U10" s="37" t="s">
        <v>6</v>
      </c>
      <c r="V10" s="50">
        <v>1.5</v>
      </c>
    </row>
    <row r="11" spans="1:22" x14ac:dyDescent="0.2">
      <c r="A11" s="57">
        <v>42030</v>
      </c>
      <c r="B11" s="20">
        <v>84.029999000000004</v>
      </c>
      <c r="C11" s="61">
        <f>(tblDataAccenture[[#This Row],[Côte]]-B10)/B10</f>
        <v>-5.817083548340235E-2</v>
      </c>
      <c r="F11" s="8">
        <v>1</v>
      </c>
      <c r="G11" s="59">
        <f>H2</f>
        <v>-6.1092316899728799E-2</v>
      </c>
      <c r="H11" s="9">
        <f t="array" ref="H11:H40">FREQUENCY(tblDataAccenture[Taux de rentabilité ACCENTURE],G11:G40)</f>
        <v>1</v>
      </c>
      <c r="I11" s="13">
        <f>IF(F11&lt;&gt;"",H11/$H$6,"")</f>
        <v>1.9607843137254902E-2</v>
      </c>
      <c r="J11" s="28">
        <f>I11</f>
        <v>1.9607843137254902E-2</v>
      </c>
      <c r="L11" s="51" t="s">
        <v>34</v>
      </c>
      <c r="M11" s="52">
        <v>15</v>
      </c>
    </row>
    <row r="12" spans="1:22" x14ac:dyDescent="0.2">
      <c r="A12" s="57">
        <v>42037</v>
      </c>
      <c r="B12" s="20">
        <v>88.150002000000001</v>
      </c>
      <c r="C12" s="61">
        <f>(tblDataAccenture[[#This Row],[Côte]]-B11)/B11</f>
        <v>4.9030144579675611E-2</v>
      </c>
      <c r="F12" s="8">
        <f>IFERROR(IF(F11-2&lt;$M$14,F11+1,""),"")</f>
        <v>2</v>
      </c>
      <c r="G12" s="59">
        <f>IFERROR(IF(G11+$H$5&gt;$H$3+$H$5,"",G11+$H$5),"")</f>
        <v>-3.7346528405342992E-2</v>
      </c>
      <c r="H12" s="9">
        <v>2</v>
      </c>
      <c r="I12" s="13">
        <f>IF(F12&lt;&gt;"",H12/$H$6,"")</f>
        <v>3.9215686274509803E-2</v>
      </c>
      <c r="J12" s="28">
        <f>IF(I12&lt;&gt;"",I12+J11,"")</f>
        <v>5.8823529411764705E-2</v>
      </c>
      <c r="U12" s="4" t="s">
        <v>29</v>
      </c>
      <c r="V12" s="16">
        <f>COUNTIF(tblDataAccenture[Taux de rentabilité ACCENTURE],"&gt;"&amp;V13)</f>
        <v>0</v>
      </c>
    </row>
    <row r="13" spans="1:22" x14ac:dyDescent="0.2">
      <c r="A13" s="57">
        <v>42044</v>
      </c>
      <c r="B13" s="20">
        <v>89.790001000000004</v>
      </c>
      <c r="C13" s="61">
        <f>(tblDataAccenture[[#This Row],[Côte]]-B12)/B12</f>
        <v>1.8604639396378041E-2</v>
      </c>
      <c r="F13" s="8">
        <f t="shared" ref="F13:F40" si="0">IFERROR(IF(F12-2&lt;$M$14,F12+1,""),"")</f>
        <v>3</v>
      </c>
      <c r="G13" s="59">
        <f>IFERROR(IF(G12+$H$5&gt;$H$3+$H$5,"",G12+$H$5),"")</f>
        <v>-1.3600739910957185E-2</v>
      </c>
      <c r="H13" s="9">
        <v>7</v>
      </c>
      <c r="I13" s="13">
        <f>IF(F13&lt;&gt;"",H13/$H$6,"")</f>
        <v>0.13725490196078433</v>
      </c>
      <c r="J13" s="28">
        <f>IF(I13&lt;&gt;"",I13+J12,"")</f>
        <v>0.19607843137254904</v>
      </c>
      <c r="L13" s="34" t="s">
        <v>22</v>
      </c>
      <c r="M13" s="12" t="s">
        <v>12</v>
      </c>
      <c r="U13" s="4" t="s">
        <v>27</v>
      </c>
      <c r="V13" s="17">
        <f>V14</f>
        <v>0.10512820256097184</v>
      </c>
    </row>
    <row r="14" spans="1:22" x14ac:dyDescent="0.2">
      <c r="A14" s="57">
        <v>42052</v>
      </c>
      <c r="B14" s="20">
        <v>90.489998</v>
      </c>
      <c r="C14" s="61">
        <f>(tblDataAccenture[[#This Row],[Côte]]-B13)/B13</f>
        <v>7.7959348725254625E-3</v>
      </c>
      <c r="F14" s="8">
        <f t="shared" si="0"/>
        <v>4</v>
      </c>
      <c r="G14" s="59">
        <f>IFERROR(IF(G13+$H$5&gt;$H$3+$H$5,"",G13+$H$5),"")</f>
        <v>1.0145048583428622E-2</v>
      </c>
      <c r="H14" s="9">
        <v>23</v>
      </c>
      <c r="I14" s="13">
        <f>IF(F14&lt;&gt;"",H14/$H$6,"")</f>
        <v>0.45098039215686275</v>
      </c>
      <c r="J14" s="28">
        <f>IF(I14&lt;&gt;"",I14+J13,"")</f>
        <v>0.6470588235294118</v>
      </c>
      <c r="L14" s="50" t="s">
        <v>15</v>
      </c>
      <c r="M14" s="53">
        <f>VLOOKUP($L$14,$L$5:$M$11,2,FALSE)</f>
        <v>7</v>
      </c>
      <c r="U14" s="4" t="s">
        <v>1</v>
      </c>
      <c r="V14" s="17">
        <f>MAX(tblDataAccenture[Taux de rentabilité ACCENTURE])</f>
        <v>0.10512820256097184</v>
      </c>
    </row>
    <row r="15" spans="1:22" x14ac:dyDescent="0.2">
      <c r="A15" s="57">
        <v>42058</v>
      </c>
      <c r="B15" s="20">
        <v>90.029999000000004</v>
      </c>
      <c r="C15" s="61">
        <f>(tblDataAccenture[[#This Row],[Côte]]-B14)/B14</f>
        <v>-5.0834236950695506E-3</v>
      </c>
      <c r="F15" s="8">
        <f t="shared" si="0"/>
        <v>5</v>
      </c>
      <c r="G15" s="59">
        <f>IFERROR(IF(G14+$H$5&gt;$H$3+$H$5,"",G14+$H$5),"")</f>
        <v>3.3890837077814429E-2</v>
      </c>
      <c r="H15" s="9">
        <v>12</v>
      </c>
      <c r="I15" s="13">
        <f>IF(F15&lt;&gt;"",H15/$H$6,"")</f>
        <v>0.23529411764705882</v>
      </c>
      <c r="J15" s="28">
        <f t="shared" ref="J15:J40" si="1">IF(I15&lt;&gt;"",I15+J14,"")</f>
        <v>0.88235294117647056</v>
      </c>
      <c r="U15" s="4" t="s">
        <v>2</v>
      </c>
      <c r="V15" s="17">
        <f>_xlfn.QUARTILE.INC(tblDataAccenture[Taux de rentabilité ACCENTURE],3)</f>
        <v>1.7907320797652448E-2</v>
      </c>
    </row>
    <row r="16" spans="1:22" x14ac:dyDescent="0.2">
      <c r="A16" s="57">
        <v>42065</v>
      </c>
      <c r="B16" s="20">
        <v>90.669998000000007</v>
      </c>
      <c r="C16" s="61">
        <f>(tblDataAccenture[[#This Row],[Côte]]-B15)/B15</f>
        <v>7.108730502151878E-3</v>
      </c>
      <c r="F16" s="8">
        <f t="shared" si="0"/>
        <v>6</v>
      </c>
      <c r="G16" s="59">
        <f>IFERROR(IF(G15+$H$5&gt;$H$3+$H$5,"",G15+$H$5),"")</f>
        <v>5.7636625572200235E-2</v>
      </c>
      <c r="H16" s="9">
        <v>5</v>
      </c>
      <c r="I16" s="13">
        <f>IF(F16&lt;&gt;"",H16/$H$6,"")</f>
        <v>9.8039215686274508E-2</v>
      </c>
      <c r="J16" s="28">
        <f t="shared" si="1"/>
        <v>0.98039215686274506</v>
      </c>
      <c r="U16" s="4" t="s">
        <v>7</v>
      </c>
      <c r="V16" s="17">
        <f>_xlfn.QUARTILE.INC(tblDataAccenture[Taux de rentabilité ACCENTURE],2)</f>
        <v>5.4151836908048418E-3</v>
      </c>
    </row>
    <row r="17" spans="1:22" x14ac:dyDescent="0.2">
      <c r="A17" s="57">
        <v>42072</v>
      </c>
      <c r="B17" s="20">
        <v>87.870002999999997</v>
      </c>
      <c r="C17" s="61">
        <f>(tblDataAccenture[[#This Row],[Côte]]-B16)/B16</f>
        <v>-3.0881163138439791E-2</v>
      </c>
      <c r="F17" s="8">
        <f t="shared" si="0"/>
        <v>7</v>
      </c>
      <c r="G17" s="59">
        <f>IFERROR(IF(G16+$H$5&gt;$H$3+$H$5,"",G16+$H$5),"")</f>
        <v>8.1382414066586042E-2</v>
      </c>
      <c r="H17" s="9">
        <v>0</v>
      </c>
      <c r="I17" s="13">
        <f>IF(F17&lt;&gt;"",H17/$H$6,"")</f>
        <v>0</v>
      </c>
      <c r="J17" s="28">
        <f t="shared" si="1"/>
        <v>0.98039215686274506</v>
      </c>
      <c r="U17" s="4" t="s">
        <v>4</v>
      </c>
      <c r="V17" s="17">
        <f>_xlfn.QUARTILE.INC(tblDataAccenture[Taux de rentabilité ACCENTURE],1)</f>
        <v>-8.6143113217855179E-3</v>
      </c>
    </row>
    <row r="18" spans="1:22" x14ac:dyDescent="0.2">
      <c r="A18" s="57">
        <v>42079</v>
      </c>
      <c r="B18" s="20">
        <v>91.480002999999996</v>
      </c>
      <c r="C18" s="61">
        <f>(tblDataAccenture[[#This Row],[Côte]]-B17)/B17</f>
        <v>4.1083417284053118E-2</v>
      </c>
      <c r="F18" s="8">
        <f t="shared" si="0"/>
        <v>8</v>
      </c>
      <c r="G18" s="59">
        <f>IFERROR(IF(G17+$H$5&gt;$H$3+$H$5,"",G17+$H$5),"")</f>
        <v>0.10512820256097186</v>
      </c>
      <c r="H18" s="9">
        <v>1</v>
      </c>
      <c r="I18" s="13">
        <f>IF(F18&lt;&gt;"",H18/$H$6,"")</f>
        <v>1.9607843137254902E-2</v>
      </c>
      <c r="J18" s="28">
        <f t="shared" si="1"/>
        <v>1</v>
      </c>
      <c r="U18" s="4" t="s">
        <v>0</v>
      </c>
      <c r="V18" s="17">
        <f>MIN(tblDataAccenture[Taux de rentabilité ACCENTURE])</f>
        <v>-6.1092316899728799E-2</v>
      </c>
    </row>
    <row r="19" spans="1:22" x14ac:dyDescent="0.2">
      <c r="A19" s="57">
        <v>42086</v>
      </c>
      <c r="B19" s="20">
        <v>93.940002000000007</v>
      </c>
      <c r="C19" s="61">
        <f>(tblDataAccenture[[#This Row],[Côte]]-B18)/B18</f>
        <v>2.6891111929675065E-2</v>
      </c>
      <c r="F19" s="8">
        <f t="shared" si="0"/>
        <v>9</v>
      </c>
      <c r="G19" s="59">
        <f>IFERROR(IF(G18+$H$5&gt;$H$3+$H$5,"",G18+$H$5),"")</f>
        <v>0.12887399105535766</v>
      </c>
      <c r="H19" s="9">
        <v>0</v>
      </c>
      <c r="I19" s="13">
        <f>IF(F19&lt;&gt;"",H19/$H$6,"")</f>
        <v>0</v>
      </c>
      <c r="J19" s="28">
        <f t="shared" si="1"/>
        <v>1</v>
      </c>
      <c r="U19" s="4" t="s">
        <v>26</v>
      </c>
      <c r="V19" s="17">
        <f>V18</f>
        <v>-6.1092316899728799E-2</v>
      </c>
    </row>
    <row r="20" spans="1:22" x14ac:dyDescent="0.2">
      <c r="A20" s="57">
        <v>42093</v>
      </c>
      <c r="B20" s="20">
        <v>94.18</v>
      </c>
      <c r="C20" s="61">
        <f>(tblDataAccenture[[#This Row],[Côte]]-B19)/B19</f>
        <v>2.5548008823759651E-3</v>
      </c>
      <c r="F20" s="8" t="str">
        <f t="shared" si="0"/>
        <v/>
      </c>
      <c r="G20" s="59" t="str">
        <f>IFERROR(IF(G19+$H$5&gt;$H$3+$H$5,"",G19+$H$5),"")</f>
        <v/>
      </c>
      <c r="H20" s="9">
        <v>0</v>
      </c>
      <c r="I20" s="13" t="str">
        <f>IF(F20&lt;&gt;"",H20/$H$6,"")</f>
        <v/>
      </c>
      <c r="J20" s="28" t="str">
        <f t="shared" si="1"/>
        <v/>
      </c>
      <c r="U20" s="4" t="s">
        <v>28</v>
      </c>
      <c r="V20" s="16">
        <f>COUNTIF(tblDataAccenture[Taux de rentabilité ACCENTURE],"&lt;"&amp;V19)</f>
        <v>0</v>
      </c>
    </row>
    <row r="21" spans="1:22" x14ac:dyDescent="0.2">
      <c r="A21" s="57">
        <v>42100</v>
      </c>
      <c r="B21" s="20">
        <v>94.690002000000007</v>
      </c>
      <c r="C21" s="61">
        <f>(tblDataAccenture[[#This Row],[Côte]]-B20)/B20</f>
        <v>5.4151836908048418E-3</v>
      </c>
      <c r="F21" s="8" t="str">
        <f t="shared" si="0"/>
        <v/>
      </c>
      <c r="G21" s="59" t="str">
        <f>IFERROR(IF(G20+$H$5&gt;$H$3+$H$5,"",G20+$H$5),"")</f>
        <v/>
      </c>
      <c r="H21" s="9" t="e">
        <v>#N/A</v>
      </c>
      <c r="I21" s="13" t="str">
        <f>IF(F21&lt;&gt;"",H21/$H$6,"")</f>
        <v/>
      </c>
      <c r="J21" s="28" t="str">
        <f t="shared" si="1"/>
        <v/>
      </c>
    </row>
    <row r="22" spans="1:22" x14ac:dyDescent="0.2">
      <c r="A22" s="57">
        <v>42107</v>
      </c>
      <c r="B22" s="20">
        <v>92.389999000000003</v>
      </c>
      <c r="C22" s="61">
        <f>(tblDataAccenture[[#This Row],[Côte]]-B21)/B21</f>
        <v>-2.4289818897669933E-2</v>
      </c>
      <c r="F22" s="8" t="str">
        <f t="shared" si="0"/>
        <v/>
      </c>
      <c r="G22" s="59" t="str">
        <f>IFERROR(IF(G21+$H$5&gt;$H$3+$H$5,"",G21+$H$5),"")</f>
        <v/>
      </c>
      <c r="H22" s="9" t="e">
        <v>#N/A</v>
      </c>
      <c r="I22" s="13" t="str">
        <f>IF(F22&lt;&gt;"",H22/$H$6,"")</f>
        <v/>
      </c>
      <c r="J22" s="28" t="str">
        <f t="shared" si="1"/>
        <v/>
      </c>
      <c r="U22" s="54" t="s">
        <v>5</v>
      </c>
      <c r="V22" s="15">
        <f>AVERAGE(tblDataAccenture[Taux de rentabilité ACCENTURE])</f>
        <v>4.7307432982497807E-3</v>
      </c>
    </row>
    <row r="23" spans="1:22" x14ac:dyDescent="0.2">
      <c r="A23" s="57">
        <v>42114</v>
      </c>
      <c r="B23" s="20">
        <v>93.400002000000001</v>
      </c>
      <c r="C23" s="61">
        <f>(tblDataAccenture[[#This Row],[Côte]]-B22)/B22</f>
        <v>1.0931951628227613E-2</v>
      </c>
      <c r="F23" s="8" t="str">
        <f t="shared" si="0"/>
        <v/>
      </c>
      <c r="G23" s="59" t="str">
        <f>IFERROR(IF(G22+$H$5&gt;$H$3+$H$5,"",G22+$H$5),"")</f>
        <v/>
      </c>
      <c r="H23" s="9" t="e">
        <v>#N/A</v>
      </c>
      <c r="I23" s="13" t="str">
        <f>IF(F23&lt;&gt;"",H23/$H$6,"")</f>
        <v/>
      </c>
      <c r="J23" s="28" t="str">
        <f t="shared" si="1"/>
        <v/>
      </c>
      <c r="U23" s="54" t="s">
        <v>32</v>
      </c>
      <c r="V23" s="15" t="e">
        <f>_xlfn.MODE.SNGL(tblDataAccenture[Taux de rentabilité ACCENTURE])</f>
        <v>#N/A</v>
      </c>
    </row>
    <row r="24" spans="1:22" x14ac:dyDescent="0.2">
      <c r="A24" s="57">
        <v>42121</v>
      </c>
      <c r="B24" s="20">
        <v>93.360000999999997</v>
      </c>
      <c r="C24" s="61">
        <f>(tblDataAccenture[[#This Row],[Côte]]-B23)/B23</f>
        <v>-4.2827622209262614E-4</v>
      </c>
      <c r="F24" s="8" t="str">
        <f t="shared" si="0"/>
        <v/>
      </c>
      <c r="G24" s="59" t="str">
        <f>IFERROR(IF(G23+$H$5&gt;$H$3+$H$5,"",G23+$H$5),"")</f>
        <v/>
      </c>
      <c r="H24" s="9" t="e">
        <v>#N/A</v>
      </c>
      <c r="I24" s="13" t="str">
        <f>IF(F24&lt;&gt;"",H24/$H$6,"")</f>
        <v/>
      </c>
      <c r="J24" s="28" t="str">
        <f t="shared" si="1"/>
        <v/>
      </c>
      <c r="U24" s="38" t="s">
        <v>33</v>
      </c>
      <c r="V24" s="1">
        <f>COUNTIF(tblDataAccenture[Taux de rentabilité ACCENTURE],V23)</f>
        <v>0</v>
      </c>
    </row>
    <row r="25" spans="1:22" x14ac:dyDescent="0.2">
      <c r="A25" s="57">
        <v>42128</v>
      </c>
      <c r="B25" s="20">
        <v>95.889999000000003</v>
      </c>
      <c r="C25" s="61">
        <f>(tblDataAccenture[[#This Row],[Côte]]-B24)/B24</f>
        <v>2.7099378458661394E-2</v>
      </c>
      <c r="F25" s="8" t="str">
        <f t="shared" si="0"/>
        <v/>
      </c>
      <c r="G25" s="59" t="str">
        <f>IFERROR(IF(G24+$H$5&gt;$H$3+$H$5,"",G24+$H$5),"")</f>
        <v/>
      </c>
      <c r="H25" s="9" t="e">
        <v>#N/A</v>
      </c>
      <c r="I25" s="13" t="str">
        <f>IF(F25&lt;&gt;"",H25/$H$6,"")</f>
        <v/>
      </c>
      <c r="J25" s="28" t="str">
        <f t="shared" si="1"/>
        <v/>
      </c>
      <c r="V25" s="14"/>
    </row>
    <row r="26" spans="1:22" x14ac:dyDescent="0.2">
      <c r="A26" s="57">
        <v>42135</v>
      </c>
      <c r="B26" s="20">
        <v>97.019997000000004</v>
      </c>
      <c r="C26" s="61">
        <f>(tblDataAccenture[[#This Row],[Côte]]-B25)/B25</f>
        <v>1.1784315484245656E-2</v>
      </c>
      <c r="F26" s="8" t="str">
        <f t="shared" si="0"/>
        <v/>
      </c>
      <c r="G26" s="59" t="str">
        <f>IFERROR(IF(G25+$H$5&gt;$H$3+$H$5,"",G25+$H$5),"")</f>
        <v/>
      </c>
      <c r="H26" s="9" t="e">
        <v>#N/A</v>
      </c>
      <c r="I26" s="13" t="str">
        <f>IF(F26&lt;&gt;"",H26/$H$6,"")</f>
        <v/>
      </c>
      <c r="J26" s="28" t="str">
        <f t="shared" si="1"/>
        <v/>
      </c>
      <c r="V26" s="14"/>
    </row>
    <row r="27" spans="1:22" x14ac:dyDescent="0.2">
      <c r="A27" s="57">
        <v>42142</v>
      </c>
      <c r="B27" s="20">
        <v>96.389999000000003</v>
      </c>
      <c r="C27" s="61">
        <f>(tblDataAccenture[[#This Row],[Côte]]-B26)/B26</f>
        <v>-6.4934860799882362E-3</v>
      </c>
      <c r="F27" s="8" t="str">
        <f t="shared" si="0"/>
        <v/>
      </c>
      <c r="G27" s="59" t="str">
        <f>IFERROR(IF(G26+$H$5&gt;$H$3+$H$5,"",G26+$H$5),"")</f>
        <v/>
      </c>
      <c r="H27" s="9" t="e">
        <v>#N/A</v>
      </c>
      <c r="I27" s="13" t="str">
        <f>IF(F27&lt;&gt;"",H27/$H$6,"")</f>
        <v/>
      </c>
      <c r="J27" s="28" t="str">
        <f t="shared" si="1"/>
        <v/>
      </c>
      <c r="V27" s="14"/>
    </row>
    <row r="28" spans="1:22" x14ac:dyDescent="0.2">
      <c r="A28" s="57">
        <v>42150</v>
      </c>
      <c r="B28" s="20">
        <v>96.040001000000004</v>
      </c>
      <c r="C28" s="61">
        <f>(tblDataAccenture[[#This Row],[Côte]]-B27)/B27</f>
        <v>-3.6310613510847673E-3</v>
      </c>
      <c r="F28" s="8" t="str">
        <f t="shared" si="0"/>
        <v/>
      </c>
      <c r="G28" s="59" t="str">
        <f>IFERROR(IF(G27+$H$5&gt;$H$3+$H$5,"",G27+$H$5),"")</f>
        <v/>
      </c>
      <c r="H28" s="9" t="e">
        <v>#N/A</v>
      </c>
      <c r="I28" s="13" t="str">
        <f>IF(F28&lt;&gt;"",H28/$H$6,"")</f>
        <v/>
      </c>
      <c r="J28" s="28" t="str">
        <f t="shared" si="1"/>
        <v/>
      </c>
      <c r="V28" s="14"/>
    </row>
    <row r="29" spans="1:22" x14ac:dyDescent="0.2">
      <c r="A29" s="57">
        <v>42156</v>
      </c>
      <c r="B29" s="20">
        <v>95.400002000000001</v>
      </c>
      <c r="C29" s="61">
        <f>(tblDataAccenture[[#This Row],[Côte]]-B28)/B28</f>
        <v>-6.663879564099578E-3</v>
      </c>
      <c r="F29" s="8" t="str">
        <f t="shared" si="0"/>
        <v/>
      </c>
      <c r="G29" s="59" t="str">
        <f>IFERROR(IF(G28+$H$5&gt;$H$3+$H$5,"",G28+$H$5),"")</f>
        <v/>
      </c>
      <c r="H29" s="9" t="e">
        <v>#N/A</v>
      </c>
      <c r="I29" s="13" t="str">
        <f>IF(F29&lt;&gt;"",H29/$H$6,"")</f>
        <v/>
      </c>
      <c r="J29" s="28" t="str">
        <f t="shared" si="1"/>
        <v/>
      </c>
      <c r="V29" s="14"/>
    </row>
    <row r="30" spans="1:22" x14ac:dyDescent="0.2">
      <c r="A30" s="57">
        <v>42163</v>
      </c>
      <c r="B30" s="20">
        <v>96.099997999999999</v>
      </c>
      <c r="C30" s="61">
        <f>(tblDataAccenture[[#This Row],[Côte]]-B29)/B29</f>
        <v>7.3374841229038833E-3</v>
      </c>
      <c r="F30" s="8" t="str">
        <f t="shared" si="0"/>
        <v/>
      </c>
      <c r="G30" s="59" t="str">
        <f>IFERROR(IF(G29+$H$5&gt;$H$3+$H$5,"",G29+$H$5),"")</f>
        <v/>
      </c>
      <c r="H30" s="9" t="e">
        <v>#N/A</v>
      </c>
      <c r="I30" s="13" t="str">
        <f>IF(F30&lt;&gt;"",H30/$H$6,"")</f>
        <v/>
      </c>
      <c r="J30" s="28" t="str">
        <f t="shared" si="1"/>
        <v/>
      </c>
      <c r="V30" s="14"/>
    </row>
    <row r="31" spans="1:22" x14ac:dyDescent="0.2">
      <c r="A31" s="57">
        <v>42170</v>
      </c>
      <c r="B31" s="20">
        <v>97.019997000000004</v>
      </c>
      <c r="C31" s="61">
        <f>(tblDataAccenture[[#This Row],[Côte]]-B30)/B30</f>
        <v>9.5733508756160879E-3</v>
      </c>
      <c r="F31" s="8" t="str">
        <f t="shared" si="0"/>
        <v/>
      </c>
      <c r="G31" s="59" t="str">
        <f>IFERROR(IF(G30+$H$5&gt;$H$3+$H$5,"",G30+$H$5),"")</f>
        <v/>
      </c>
      <c r="H31" s="9" t="e">
        <v>#N/A</v>
      </c>
      <c r="I31" s="13" t="str">
        <f>IF(F31&lt;&gt;"",H31/$H$6,"")</f>
        <v/>
      </c>
      <c r="J31" s="28" t="str">
        <f t="shared" si="1"/>
        <v/>
      </c>
      <c r="V31" s="14"/>
    </row>
    <row r="32" spans="1:22" x14ac:dyDescent="0.2">
      <c r="A32" s="57">
        <v>42177</v>
      </c>
      <c r="B32" s="20">
        <v>99</v>
      </c>
      <c r="C32" s="61">
        <f>(tblDataAccenture[[#This Row],[Côte]]-B31)/B31</f>
        <v>2.0408194817816746E-2</v>
      </c>
      <c r="F32" s="8" t="str">
        <f t="shared" si="0"/>
        <v/>
      </c>
      <c r="G32" s="59" t="str">
        <f>IFERROR(IF(G31+$H$5&gt;$H$3+$H$5,"",G31+$H$5),"")</f>
        <v/>
      </c>
      <c r="H32" s="9" t="e">
        <v>#N/A</v>
      </c>
      <c r="I32" s="13" t="str">
        <f>IF(F32&lt;&gt;"",H32/$H$6,"")</f>
        <v/>
      </c>
      <c r="J32" s="28" t="str">
        <f t="shared" si="1"/>
        <v/>
      </c>
      <c r="V32" s="14"/>
    </row>
    <row r="33" spans="1:22" x14ac:dyDescent="0.2">
      <c r="A33" s="57">
        <v>42184</v>
      </c>
      <c r="B33" s="20">
        <v>97.330001999999993</v>
      </c>
      <c r="C33" s="61">
        <f>(tblDataAccenture[[#This Row],[Côte]]-B32)/B32</f>
        <v>-1.6868666666666737E-2</v>
      </c>
      <c r="F33" s="8" t="str">
        <f t="shared" si="0"/>
        <v/>
      </c>
      <c r="G33" s="59" t="str">
        <f>IFERROR(IF(G32+$H$5&gt;$H$3+$H$5,"",G32+$H$5),"")</f>
        <v/>
      </c>
      <c r="H33" s="9" t="e">
        <v>#N/A</v>
      </c>
      <c r="I33" s="13" t="str">
        <f>IF(F33&lt;&gt;"",H33/$H$6,"")</f>
        <v/>
      </c>
      <c r="J33" s="28" t="str">
        <f t="shared" si="1"/>
        <v/>
      </c>
      <c r="V33" s="14"/>
    </row>
    <row r="34" spans="1:22" x14ac:dyDescent="0.2">
      <c r="A34" s="57">
        <v>42191</v>
      </c>
      <c r="B34" s="20">
        <v>98.779999000000004</v>
      </c>
      <c r="C34" s="61">
        <f>(tblDataAccenture[[#This Row],[Côte]]-B33)/B33</f>
        <v>1.4897739342489795E-2</v>
      </c>
      <c r="F34" s="8" t="str">
        <f t="shared" si="0"/>
        <v/>
      </c>
      <c r="G34" s="59" t="str">
        <f>IFERROR(IF(G33+$H$5&gt;$H$3+$H$5,"",G33+$H$5),"")</f>
        <v/>
      </c>
      <c r="H34" s="9" t="e">
        <v>#N/A</v>
      </c>
      <c r="I34" s="13" t="str">
        <f>IF(F34&lt;&gt;"",H34/$H$6,"")</f>
        <v/>
      </c>
      <c r="J34" s="28" t="str">
        <f t="shared" si="1"/>
        <v/>
      </c>
    </row>
    <row r="35" spans="1:22" x14ac:dyDescent="0.2">
      <c r="A35" s="57">
        <v>42198</v>
      </c>
      <c r="B35" s="20">
        <v>100.480003</v>
      </c>
      <c r="C35" s="61">
        <f>(tblDataAccenture[[#This Row],[Côte]]-B34)/B34</f>
        <v>1.7210002198926856E-2</v>
      </c>
      <c r="F35" s="8" t="str">
        <f t="shared" si="0"/>
        <v/>
      </c>
      <c r="G35" s="59" t="str">
        <f>IFERROR(IF(G34+$H$5&gt;$H$3+$H$5,"",G34+$H$5),"")</f>
        <v/>
      </c>
      <c r="H35" s="9" t="e">
        <v>#N/A</v>
      </c>
      <c r="I35" s="13" t="str">
        <f>IF(F35&lt;&gt;"",H35/$H$6,"")</f>
        <v/>
      </c>
      <c r="J35" s="28" t="str">
        <f t="shared" si="1"/>
        <v/>
      </c>
    </row>
    <row r="36" spans="1:22" x14ac:dyDescent="0.2">
      <c r="A36" s="57">
        <v>42205</v>
      </c>
      <c r="B36" s="20">
        <v>101.16999800000001</v>
      </c>
      <c r="C36" s="61">
        <f>(tblDataAccenture[[#This Row],[Côte]]-B35)/B35</f>
        <v>6.866988250388591E-3</v>
      </c>
      <c r="F36" s="8" t="str">
        <f t="shared" si="0"/>
        <v/>
      </c>
      <c r="G36" s="59" t="str">
        <f>IFERROR(IF(G35+$H$5&gt;$H$3+$H$5,"",G35+$H$5),"")</f>
        <v/>
      </c>
      <c r="H36" s="9" t="e">
        <v>#N/A</v>
      </c>
      <c r="I36" s="13" t="str">
        <f>IF(F36&lt;&gt;"",H36/$H$6,"")</f>
        <v/>
      </c>
      <c r="J36" s="28" t="str">
        <f t="shared" si="1"/>
        <v/>
      </c>
    </row>
    <row r="37" spans="1:22" x14ac:dyDescent="0.2">
      <c r="A37" s="57">
        <v>42212</v>
      </c>
      <c r="B37" s="20">
        <v>103.110001</v>
      </c>
      <c r="C37" s="61">
        <f>(tblDataAccenture[[#This Row],[Côte]]-B36)/B36</f>
        <v>1.9175674986175152E-2</v>
      </c>
      <c r="F37" s="8" t="str">
        <f t="shared" si="0"/>
        <v/>
      </c>
      <c r="G37" s="59" t="str">
        <f>IFERROR(IF(G36+$H$5&gt;$H$3+$H$5,"",G36+$H$5),"")</f>
        <v/>
      </c>
      <c r="H37" s="9" t="e">
        <v>#N/A</v>
      </c>
      <c r="I37" s="13" t="str">
        <f>IF(F37&lt;&gt;"",H37/$H$6,"")</f>
        <v/>
      </c>
      <c r="J37" s="28" t="str">
        <f t="shared" si="1"/>
        <v/>
      </c>
    </row>
    <row r="38" spans="1:22" x14ac:dyDescent="0.2">
      <c r="A38" s="57">
        <v>42219</v>
      </c>
      <c r="B38" s="20">
        <v>103.739998</v>
      </c>
      <c r="C38" s="61">
        <f>(tblDataAccenture[[#This Row],[Côte]]-B37)/B37</f>
        <v>6.1099504790035159E-3</v>
      </c>
      <c r="F38" s="8" t="str">
        <f t="shared" si="0"/>
        <v/>
      </c>
      <c r="G38" s="59" t="str">
        <f>IFERROR(IF(G37+$H$5&gt;$H$3+$H$5,"",G37+$H$5),"")</f>
        <v/>
      </c>
      <c r="H38" s="9" t="e">
        <v>#N/A</v>
      </c>
      <c r="I38" s="13" t="str">
        <f>IF(F38&lt;&gt;"",H38/$H$6,"")</f>
        <v/>
      </c>
      <c r="J38" s="28" t="str">
        <f t="shared" si="1"/>
        <v/>
      </c>
    </row>
    <row r="39" spans="1:22" x14ac:dyDescent="0.2">
      <c r="A39" s="57">
        <v>42226</v>
      </c>
      <c r="B39" s="20">
        <v>103.449997</v>
      </c>
      <c r="C39" s="61">
        <f>(tblDataAccenture[[#This Row],[Côte]]-B38)/B38</f>
        <v>-2.7954598572481537E-3</v>
      </c>
      <c r="F39" s="8" t="str">
        <f t="shared" si="0"/>
        <v/>
      </c>
      <c r="G39" s="59" t="str">
        <f>IFERROR(IF(G38+$H$5&gt;$H$3+$H$5,"",G38+$H$5),"")</f>
        <v/>
      </c>
      <c r="H39" s="9" t="e">
        <v>#N/A</v>
      </c>
      <c r="I39" s="13" t="str">
        <f>IF(F39&lt;&gt;"",H39/$H$6,"")</f>
        <v/>
      </c>
      <c r="J39" s="28" t="str">
        <f t="shared" si="1"/>
        <v/>
      </c>
    </row>
    <row r="40" spans="1:22" x14ac:dyDescent="0.2">
      <c r="A40" s="57">
        <v>42233</v>
      </c>
      <c r="B40" s="20">
        <v>97.129997000000003</v>
      </c>
      <c r="C40" s="61">
        <f>(tblDataAccenture[[#This Row],[Côte]]-B39)/B39</f>
        <v>-6.1092316899728799E-2</v>
      </c>
      <c r="F40" s="10" t="str">
        <f t="shared" si="0"/>
        <v/>
      </c>
      <c r="G40" s="60" t="str">
        <f>IFERROR(IF(G39+$H$5&gt;$H$3+$H$5,"",G39+$H$5),"")</f>
        <v/>
      </c>
      <c r="H40" s="11" t="e">
        <v>#N/A</v>
      </c>
      <c r="I40" s="29" t="str">
        <f>IF(F40&lt;&gt;"",H40/$H$6,"")</f>
        <v/>
      </c>
      <c r="J40" s="30" t="str">
        <f t="shared" si="1"/>
        <v/>
      </c>
    </row>
    <row r="41" spans="1:22" x14ac:dyDescent="0.2">
      <c r="A41" s="57">
        <v>42240</v>
      </c>
      <c r="B41" s="20">
        <v>95.849997999999999</v>
      </c>
      <c r="C41" s="61">
        <f>(tblDataAccenture[[#This Row],[Côte]]-B40)/B40</f>
        <v>-1.3178204875266325E-2</v>
      </c>
    </row>
    <row r="42" spans="1:22" x14ac:dyDescent="0.2">
      <c r="A42" s="57">
        <v>42247</v>
      </c>
      <c r="B42" s="20">
        <v>94.449996999999996</v>
      </c>
      <c r="C42" s="61">
        <f>(tblDataAccenture[[#This Row],[Côte]]-B41)/B41</f>
        <v>-1.460616618896542E-2</v>
      </c>
    </row>
    <row r="43" spans="1:22" x14ac:dyDescent="0.2">
      <c r="A43" s="57">
        <v>42255</v>
      </c>
      <c r="B43" s="20">
        <v>97.349997999999999</v>
      </c>
      <c r="C43" s="61">
        <f>(tblDataAccenture[[#This Row],[Côte]]-B42)/B42</f>
        <v>3.0704087793671432E-2</v>
      </c>
    </row>
    <row r="44" spans="1:22" x14ac:dyDescent="0.2">
      <c r="A44" s="57">
        <v>42261</v>
      </c>
      <c r="B44" s="20">
        <v>97.529999000000004</v>
      </c>
      <c r="C44" s="61">
        <f>(tblDataAccenture[[#This Row],[Côte]]-B43)/B43</f>
        <v>1.8490087693684831E-3</v>
      </c>
    </row>
    <row r="45" spans="1:22" x14ac:dyDescent="0.2">
      <c r="A45" s="57">
        <v>42268</v>
      </c>
      <c r="B45" s="20">
        <v>96.940002000000007</v>
      </c>
      <c r="C45" s="61">
        <f>(tblDataAccenture[[#This Row],[Côte]]-B44)/B44</f>
        <v>-6.0493899933290957E-3</v>
      </c>
    </row>
    <row r="46" spans="1:22" x14ac:dyDescent="0.2">
      <c r="A46" s="57">
        <v>42275</v>
      </c>
      <c r="B46" s="20">
        <v>99.389999000000003</v>
      </c>
      <c r="C46" s="61">
        <f>(tblDataAccenture[[#This Row],[Côte]]-B45)/B45</f>
        <v>2.5273333499621714E-2</v>
      </c>
    </row>
    <row r="47" spans="1:22" x14ac:dyDescent="0.2">
      <c r="A47" s="57">
        <v>42282</v>
      </c>
      <c r="B47" s="20">
        <v>104.779999</v>
      </c>
      <c r="C47" s="61">
        <f>(tblDataAccenture[[#This Row],[Côte]]-B46)/B46</f>
        <v>5.4230808473999484E-2</v>
      </c>
    </row>
    <row r="48" spans="1:22" x14ac:dyDescent="0.2">
      <c r="A48" s="57">
        <v>42289</v>
      </c>
      <c r="B48" s="20">
        <v>103.010002</v>
      </c>
      <c r="C48" s="61">
        <f>(tblDataAccenture[[#This Row],[Côte]]-B47)/B47</f>
        <v>-1.6892508273454017E-2</v>
      </c>
    </row>
    <row r="49" spans="1:3" x14ac:dyDescent="0.2">
      <c r="A49" s="57">
        <v>42296</v>
      </c>
      <c r="B49" s="20">
        <v>107.989998</v>
      </c>
      <c r="C49" s="61">
        <f>(tblDataAccenture[[#This Row],[Côte]]-B48)/B48</f>
        <v>4.8344781121351689E-2</v>
      </c>
    </row>
    <row r="50" spans="1:3" x14ac:dyDescent="0.2">
      <c r="A50" s="57">
        <v>42303</v>
      </c>
      <c r="B50" s="20">
        <v>107.199997</v>
      </c>
      <c r="C50" s="61">
        <f>(tblDataAccenture[[#This Row],[Côte]]-B49)/B49</f>
        <v>-7.3155015708029156E-3</v>
      </c>
    </row>
    <row r="51" spans="1:3" x14ac:dyDescent="0.2">
      <c r="A51" s="57">
        <v>42310</v>
      </c>
      <c r="B51" s="20">
        <v>106</v>
      </c>
      <c r="C51" s="61">
        <f>(tblDataAccenture[[#This Row],[Côte]]-B50)/B50</f>
        <v>-1.1194002178936593E-2</v>
      </c>
    </row>
    <row r="52" spans="1:3" x14ac:dyDescent="0.2">
      <c r="A52" s="57">
        <v>42317</v>
      </c>
      <c r="B52" s="20">
        <v>103.150002</v>
      </c>
      <c r="C52" s="61">
        <f>(tblDataAccenture[[#This Row],[Côte]]-B51)/B51</f>
        <v>-2.6886773584905654E-2</v>
      </c>
    </row>
    <row r="53" spans="1:3" x14ac:dyDescent="0.2">
      <c r="A53" s="57">
        <v>42324</v>
      </c>
      <c r="B53" s="20">
        <v>107.970001</v>
      </c>
      <c r="C53" s="61">
        <f>(tblDataAccenture[[#This Row],[Côte]]-B52)/B52</f>
        <v>4.6728055322771543E-2</v>
      </c>
    </row>
    <row r="54" spans="1:3" x14ac:dyDescent="0.2">
      <c r="A54" s="57">
        <v>42331</v>
      </c>
      <c r="B54" s="20">
        <v>107.459999</v>
      </c>
      <c r="C54" s="61">
        <f>(tblDataAccenture[[#This Row],[Côte]]-B53)/B53</f>
        <v>-4.7235527950027535E-3</v>
      </c>
    </row>
    <row r="55" spans="1:3" x14ac:dyDescent="0.2">
      <c r="A55" s="57"/>
      <c r="B55" s="57"/>
      <c r="C55" s="20"/>
    </row>
    <row r="56" spans="1:3" x14ac:dyDescent="0.2">
      <c r="A56" s="57"/>
      <c r="B56" s="57"/>
    </row>
    <row r="57" spans="1:3" x14ac:dyDescent="0.2">
      <c r="A57" s="57"/>
      <c r="B57" s="57"/>
    </row>
    <row r="58" spans="1:3" x14ac:dyDescent="0.2">
      <c r="A58" s="57"/>
      <c r="B58" s="57"/>
    </row>
    <row r="59" spans="1:3" x14ac:dyDescent="0.2">
      <c r="A59" s="57"/>
      <c r="B59" s="57"/>
    </row>
    <row r="60" spans="1:3" x14ac:dyDescent="0.2">
      <c r="A60" s="57"/>
      <c r="B60" s="57"/>
    </row>
    <row r="61" spans="1:3" x14ac:dyDescent="0.2">
      <c r="A61" s="57"/>
      <c r="B61" s="57"/>
    </row>
    <row r="62" spans="1:3" x14ac:dyDescent="0.2">
      <c r="A62" s="57"/>
      <c r="B62" s="57"/>
    </row>
    <row r="63" spans="1:3" x14ac:dyDescent="0.2">
      <c r="A63" s="57"/>
      <c r="B63" s="57"/>
    </row>
    <row r="64" spans="1:3" x14ac:dyDescent="0.2">
      <c r="A64" s="57"/>
      <c r="B64" s="57"/>
    </row>
    <row r="65" spans="1:2" x14ac:dyDescent="0.2">
      <c r="A65" s="57"/>
      <c r="B65" s="57"/>
    </row>
    <row r="66" spans="1:2" x14ac:dyDescent="0.2">
      <c r="A66" s="57"/>
      <c r="B66" s="57"/>
    </row>
    <row r="67" spans="1:2" x14ac:dyDescent="0.2">
      <c r="A67" s="57"/>
      <c r="B67" s="57"/>
    </row>
    <row r="68" spans="1:2" x14ac:dyDescent="0.2">
      <c r="A68" s="57"/>
      <c r="B68" s="57"/>
    </row>
    <row r="69" spans="1:2" x14ac:dyDescent="0.2">
      <c r="A69" s="57"/>
      <c r="B69" s="57"/>
    </row>
    <row r="70" spans="1:2" x14ac:dyDescent="0.2">
      <c r="A70" s="57"/>
      <c r="B70" s="57"/>
    </row>
    <row r="71" spans="1:2" x14ac:dyDescent="0.2">
      <c r="A71" s="57"/>
      <c r="B71" s="57"/>
    </row>
    <row r="72" spans="1:2" x14ac:dyDescent="0.2">
      <c r="A72" s="57"/>
      <c r="B72" s="57"/>
    </row>
    <row r="73" spans="1:2" x14ac:dyDescent="0.2">
      <c r="A73" s="57"/>
      <c r="B73" s="57"/>
    </row>
    <row r="74" spans="1:2" x14ac:dyDescent="0.2">
      <c r="A74" s="57"/>
      <c r="B74" s="57"/>
    </row>
    <row r="75" spans="1:2" x14ac:dyDescent="0.2">
      <c r="A75" s="57"/>
      <c r="B75" s="57"/>
    </row>
    <row r="76" spans="1:2" x14ac:dyDescent="0.2">
      <c r="A76" s="57"/>
      <c r="B76" s="57"/>
    </row>
    <row r="77" spans="1:2" x14ac:dyDescent="0.2">
      <c r="A77" s="57"/>
      <c r="B77" s="57"/>
    </row>
    <row r="78" spans="1:2" x14ac:dyDescent="0.2">
      <c r="A78" s="57"/>
      <c r="B78" s="57"/>
    </row>
    <row r="79" spans="1:2" x14ac:dyDescent="0.2">
      <c r="A79" s="57"/>
      <c r="B79" s="57"/>
    </row>
    <row r="80" spans="1:2" x14ac:dyDescent="0.2">
      <c r="A80" s="57"/>
      <c r="B80" s="57"/>
    </row>
    <row r="81" spans="1:2" x14ac:dyDescent="0.2">
      <c r="A81" s="57"/>
      <c r="B81" s="57"/>
    </row>
    <row r="82" spans="1:2" x14ac:dyDescent="0.2">
      <c r="A82" s="57"/>
      <c r="B82" s="57"/>
    </row>
    <row r="83" spans="1:2" x14ac:dyDescent="0.2">
      <c r="A83" s="57"/>
      <c r="B83" s="57"/>
    </row>
    <row r="84" spans="1:2" x14ac:dyDescent="0.2">
      <c r="A84" s="57"/>
      <c r="B84" s="57"/>
    </row>
    <row r="85" spans="1:2" x14ac:dyDescent="0.2">
      <c r="A85" s="57"/>
      <c r="B85" s="57"/>
    </row>
    <row r="86" spans="1:2" x14ac:dyDescent="0.2">
      <c r="A86" s="57"/>
      <c r="B86" s="57"/>
    </row>
    <row r="87" spans="1:2" x14ac:dyDescent="0.2">
      <c r="A87" s="57"/>
      <c r="B87" s="57"/>
    </row>
    <row r="88" spans="1:2" x14ac:dyDescent="0.2">
      <c r="A88" s="57"/>
      <c r="B88" s="57"/>
    </row>
    <row r="89" spans="1:2" x14ac:dyDescent="0.2">
      <c r="A89" s="57"/>
      <c r="B89" s="57"/>
    </row>
    <row r="90" spans="1:2" x14ac:dyDescent="0.2">
      <c r="A90" s="57"/>
      <c r="B90" s="57"/>
    </row>
    <row r="91" spans="1:2" x14ac:dyDescent="0.2">
      <c r="A91" s="57"/>
      <c r="B91" s="57"/>
    </row>
    <row r="92" spans="1:2" x14ac:dyDescent="0.2">
      <c r="A92" s="57"/>
      <c r="B92" s="57"/>
    </row>
    <row r="93" spans="1:2" x14ac:dyDescent="0.2">
      <c r="A93" s="57"/>
      <c r="B93" s="57"/>
    </row>
    <row r="94" spans="1:2" x14ac:dyDescent="0.2">
      <c r="A94" s="57"/>
      <c r="B94" s="57"/>
    </row>
    <row r="95" spans="1:2" x14ac:dyDescent="0.2">
      <c r="A95" s="57"/>
      <c r="B95" s="57"/>
    </row>
    <row r="96" spans="1:2" x14ac:dyDescent="0.2">
      <c r="A96" s="57"/>
      <c r="B96" s="57"/>
    </row>
    <row r="97" spans="1:2" x14ac:dyDescent="0.2">
      <c r="A97" s="57"/>
      <c r="B97" s="57"/>
    </row>
    <row r="98" spans="1:2" x14ac:dyDescent="0.2">
      <c r="A98" s="57"/>
      <c r="B98" s="57"/>
    </row>
    <row r="99" spans="1:2" x14ac:dyDescent="0.2">
      <c r="A99" s="57"/>
      <c r="B99" s="57"/>
    </row>
    <row r="100" spans="1:2" x14ac:dyDescent="0.2">
      <c r="A100" s="57"/>
      <c r="B100" s="57"/>
    </row>
    <row r="101" spans="1:2" x14ac:dyDescent="0.2">
      <c r="A101" s="57"/>
      <c r="B101" s="57"/>
    </row>
    <row r="102" spans="1:2" x14ac:dyDescent="0.2">
      <c r="A102" s="57"/>
      <c r="B102" s="57"/>
    </row>
    <row r="103" spans="1:2" x14ac:dyDescent="0.2">
      <c r="A103" s="57"/>
      <c r="B103" s="57"/>
    </row>
    <row r="104" spans="1:2" x14ac:dyDescent="0.2">
      <c r="A104" s="57"/>
      <c r="B104" s="57"/>
    </row>
    <row r="105" spans="1:2" x14ac:dyDescent="0.2">
      <c r="A105" s="57"/>
      <c r="B105" s="57"/>
    </row>
    <row r="106" spans="1:2" x14ac:dyDescent="0.2">
      <c r="A106" s="57"/>
      <c r="B106" s="57"/>
    </row>
    <row r="107" spans="1:2" x14ac:dyDescent="0.2">
      <c r="A107" s="57"/>
      <c r="B107" s="57"/>
    </row>
    <row r="108" spans="1:2" x14ac:dyDescent="0.2">
      <c r="A108" s="57"/>
      <c r="B108" s="57"/>
    </row>
    <row r="109" spans="1:2" x14ac:dyDescent="0.2">
      <c r="A109" s="57"/>
      <c r="B109" s="57"/>
    </row>
    <row r="110" spans="1:2" x14ac:dyDescent="0.2">
      <c r="A110" s="57"/>
      <c r="B110" s="57"/>
    </row>
    <row r="111" spans="1:2" x14ac:dyDescent="0.2">
      <c r="A111" s="57"/>
      <c r="B111" s="57"/>
    </row>
    <row r="112" spans="1:2" x14ac:dyDescent="0.2">
      <c r="A112" s="57"/>
      <c r="B112" s="57"/>
    </row>
    <row r="113" spans="1:2" x14ac:dyDescent="0.2">
      <c r="A113" s="57"/>
      <c r="B113" s="57"/>
    </row>
    <row r="114" spans="1:2" x14ac:dyDescent="0.2">
      <c r="A114" s="57"/>
      <c r="B114" s="57"/>
    </row>
    <row r="115" spans="1:2" x14ac:dyDescent="0.2">
      <c r="A115" s="57"/>
      <c r="B115" s="57"/>
    </row>
    <row r="116" spans="1:2" x14ac:dyDescent="0.2">
      <c r="A116" s="57"/>
      <c r="B116" s="57"/>
    </row>
    <row r="117" spans="1:2" x14ac:dyDescent="0.2">
      <c r="A117" s="57"/>
      <c r="B117" s="57"/>
    </row>
    <row r="118" spans="1:2" x14ac:dyDescent="0.2">
      <c r="A118" s="57"/>
      <c r="B118" s="57"/>
    </row>
    <row r="119" spans="1:2" x14ac:dyDescent="0.2">
      <c r="A119" s="57"/>
      <c r="B119" s="57"/>
    </row>
    <row r="120" spans="1:2" x14ac:dyDescent="0.2">
      <c r="A120" s="57"/>
      <c r="B120" s="57"/>
    </row>
    <row r="121" spans="1:2" x14ac:dyDescent="0.2">
      <c r="A121" s="57"/>
      <c r="B121" s="57"/>
    </row>
    <row r="122" spans="1:2" x14ac:dyDescent="0.2">
      <c r="A122" s="57"/>
      <c r="B122" s="57"/>
    </row>
    <row r="123" spans="1:2" x14ac:dyDescent="0.2">
      <c r="A123" s="57"/>
      <c r="B123" s="57"/>
    </row>
    <row r="124" spans="1:2" x14ac:dyDescent="0.2">
      <c r="A124" s="57"/>
      <c r="B124" s="57"/>
    </row>
    <row r="125" spans="1:2" x14ac:dyDescent="0.2">
      <c r="A125" s="57"/>
      <c r="B125" s="57"/>
    </row>
    <row r="126" spans="1:2" x14ac:dyDescent="0.2">
      <c r="A126" s="57"/>
      <c r="B126" s="57"/>
    </row>
    <row r="127" spans="1:2" x14ac:dyDescent="0.2">
      <c r="A127" s="57"/>
      <c r="B127" s="57"/>
    </row>
    <row r="128" spans="1:2" x14ac:dyDescent="0.2">
      <c r="A128" s="57"/>
      <c r="B128" s="57"/>
    </row>
    <row r="129" spans="1:2" x14ac:dyDescent="0.2">
      <c r="A129" s="57"/>
      <c r="B129" s="57"/>
    </row>
    <row r="130" spans="1:2" x14ac:dyDescent="0.2">
      <c r="A130" s="57"/>
      <c r="B130" s="57"/>
    </row>
    <row r="131" spans="1:2" x14ac:dyDescent="0.2">
      <c r="A131" s="57"/>
      <c r="B131" s="57"/>
    </row>
    <row r="132" spans="1:2" x14ac:dyDescent="0.2">
      <c r="A132" s="57"/>
      <c r="B132" s="57"/>
    </row>
    <row r="133" spans="1:2" x14ac:dyDescent="0.2">
      <c r="A133" s="57"/>
      <c r="B133" s="57"/>
    </row>
    <row r="134" spans="1:2" x14ac:dyDescent="0.2">
      <c r="A134" s="57"/>
      <c r="B134" s="57"/>
    </row>
    <row r="135" spans="1:2" x14ac:dyDescent="0.2">
      <c r="A135" s="57"/>
      <c r="B135" s="57"/>
    </row>
    <row r="136" spans="1:2" x14ac:dyDescent="0.2">
      <c r="A136" s="57"/>
      <c r="B136" s="57"/>
    </row>
    <row r="137" spans="1:2" x14ac:dyDescent="0.2">
      <c r="A137" s="57"/>
      <c r="B137" s="57"/>
    </row>
    <row r="138" spans="1:2" x14ac:dyDescent="0.2">
      <c r="A138" s="57"/>
      <c r="B138" s="57"/>
    </row>
    <row r="139" spans="1:2" x14ac:dyDescent="0.2">
      <c r="A139" s="57"/>
      <c r="B139" s="57"/>
    </row>
    <row r="140" spans="1:2" x14ac:dyDescent="0.2">
      <c r="A140" s="57"/>
      <c r="B140" s="57"/>
    </row>
    <row r="141" spans="1:2" x14ac:dyDescent="0.2">
      <c r="A141" s="57"/>
      <c r="B141" s="57"/>
    </row>
    <row r="142" spans="1:2" x14ac:dyDescent="0.2">
      <c r="A142" s="57"/>
      <c r="B142" s="57"/>
    </row>
    <row r="143" spans="1:2" x14ac:dyDescent="0.2">
      <c r="A143" s="57"/>
      <c r="B143" s="57"/>
    </row>
    <row r="144" spans="1:2" x14ac:dyDescent="0.2">
      <c r="A144" s="57"/>
      <c r="B144" s="57"/>
    </row>
    <row r="145" spans="1:2" x14ac:dyDescent="0.2">
      <c r="A145" s="57"/>
      <c r="B145" s="57"/>
    </row>
    <row r="146" spans="1:2" x14ac:dyDescent="0.2">
      <c r="A146" s="57"/>
      <c r="B146" s="57"/>
    </row>
    <row r="147" spans="1:2" x14ac:dyDescent="0.2">
      <c r="A147" s="57"/>
      <c r="B147" s="57"/>
    </row>
    <row r="148" spans="1:2" x14ac:dyDescent="0.2">
      <c r="A148" s="57"/>
      <c r="B148" s="57"/>
    </row>
    <row r="149" spans="1:2" x14ac:dyDescent="0.2">
      <c r="A149" s="57"/>
      <c r="B149" s="57"/>
    </row>
    <row r="150" spans="1:2" x14ac:dyDescent="0.2">
      <c r="A150" s="57"/>
      <c r="B150" s="57"/>
    </row>
    <row r="151" spans="1:2" x14ac:dyDescent="0.2">
      <c r="A151" s="57"/>
      <c r="B151" s="57"/>
    </row>
    <row r="152" spans="1:2" x14ac:dyDescent="0.2">
      <c r="A152" s="57"/>
      <c r="B152" s="57"/>
    </row>
    <row r="153" spans="1:2" x14ac:dyDescent="0.2">
      <c r="A153" s="57"/>
      <c r="B153" s="57"/>
    </row>
    <row r="154" spans="1:2" x14ac:dyDescent="0.2">
      <c r="A154" s="57"/>
      <c r="B154" s="57"/>
    </row>
    <row r="155" spans="1:2" x14ac:dyDescent="0.2">
      <c r="A155" s="57"/>
      <c r="B155" s="57"/>
    </row>
    <row r="156" spans="1:2" x14ac:dyDescent="0.2">
      <c r="A156" s="57"/>
      <c r="B156" s="57"/>
    </row>
    <row r="157" spans="1:2" x14ac:dyDescent="0.2">
      <c r="A157" s="57"/>
      <c r="B157" s="57"/>
    </row>
    <row r="158" spans="1:2" x14ac:dyDescent="0.2">
      <c r="A158" s="57"/>
      <c r="B158" s="57"/>
    </row>
    <row r="159" spans="1:2" x14ac:dyDescent="0.2">
      <c r="A159" s="57"/>
      <c r="B159" s="57"/>
    </row>
    <row r="160" spans="1:2" x14ac:dyDescent="0.2">
      <c r="A160" s="57"/>
      <c r="B160" s="57"/>
    </row>
    <row r="161" spans="1:2" x14ac:dyDescent="0.2">
      <c r="A161" s="57"/>
      <c r="B161" s="57"/>
    </row>
    <row r="162" spans="1:2" x14ac:dyDescent="0.2">
      <c r="A162" s="57"/>
      <c r="B162" s="57"/>
    </row>
    <row r="163" spans="1:2" x14ac:dyDescent="0.2">
      <c r="A163" s="57"/>
      <c r="B163" s="57"/>
    </row>
    <row r="164" spans="1:2" x14ac:dyDescent="0.2">
      <c r="A164" s="57"/>
      <c r="B164" s="57"/>
    </row>
    <row r="165" spans="1:2" x14ac:dyDescent="0.2">
      <c r="A165" s="57"/>
      <c r="B165" s="57"/>
    </row>
    <row r="166" spans="1:2" x14ac:dyDescent="0.2">
      <c r="A166" s="57"/>
      <c r="B166" s="57"/>
    </row>
    <row r="167" spans="1:2" x14ac:dyDescent="0.2">
      <c r="A167" s="57"/>
      <c r="B167" s="57"/>
    </row>
    <row r="168" spans="1:2" x14ac:dyDescent="0.2">
      <c r="A168" s="57"/>
      <c r="B168" s="57"/>
    </row>
    <row r="169" spans="1:2" x14ac:dyDescent="0.2">
      <c r="A169" s="57"/>
      <c r="B169" s="57"/>
    </row>
    <row r="170" spans="1:2" x14ac:dyDescent="0.2">
      <c r="A170" s="57"/>
      <c r="B170" s="57"/>
    </row>
    <row r="171" spans="1:2" x14ac:dyDescent="0.2">
      <c r="A171" s="57"/>
      <c r="B171" s="57"/>
    </row>
    <row r="172" spans="1:2" x14ac:dyDescent="0.2">
      <c r="A172" s="57"/>
      <c r="B172" s="57"/>
    </row>
    <row r="173" spans="1:2" x14ac:dyDescent="0.2">
      <c r="A173" s="57"/>
      <c r="B173" s="57"/>
    </row>
    <row r="174" spans="1:2" x14ac:dyDescent="0.2">
      <c r="A174" s="57"/>
      <c r="B174" s="57"/>
    </row>
    <row r="175" spans="1:2" x14ac:dyDescent="0.2">
      <c r="A175" s="57"/>
      <c r="B175" s="57"/>
    </row>
    <row r="176" spans="1:2" x14ac:dyDescent="0.2">
      <c r="A176" s="57"/>
      <c r="B176" s="57"/>
    </row>
    <row r="177" spans="1:2" x14ac:dyDescent="0.2">
      <c r="A177" s="57"/>
      <c r="B177" s="57"/>
    </row>
    <row r="178" spans="1:2" x14ac:dyDescent="0.2">
      <c r="A178" s="57"/>
      <c r="B178" s="57"/>
    </row>
    <row r="179" spans="1:2" x14ac:dyDescent="0.2">
      <c r="A179" s="57"/>
      <c r="B179" s="57"/>
    </row>
    <row r="180" spans="1:2" x14ac:dyDescent="0.2">
      <c r="A180" s="57"/>
      <c r="B180" s="57"/>
    </row>
    <row r="181" spans="1:2" x14ac:dyDescent="0.2">
      <c r="A181" s="57"/>
      <c r="B181" s="57"/>
    </row>
    <row r="182" spans="1:2" x14ac:dyDescent="0.2">
      <c r="A182" s="57"/>
      <c r="B182" s="57"/>
    </row>
    <row r="183" spans="1:2" x14ac:dyDescent="0.2">
      <c r="A183" s="57"/>
      <c r="B183" s="57"/>
    </row>
    <row r="184" spans="1:2" x14ac:dyDescent="0.2">
      <c r="A184" s="57"/>
      <c r="B184" s="57"/>
    </row>
    <row r="185" spans="1:2" x14ac:dyDescent="0.2">
      <c r="A185" s="57"/>
      <c r="B185" s="57"/>
    </row>
    <row r="186" spans="1:2" x14ac:dyDescent="0.2">
      <c r="A186" s="57"/>
      <c r="B186" s="57"/>
    </row>
    <row r="187" spans="1:2" x14ac:dyDescent="0.2">
      <c r="A187" s="57"/>
      <c r="B187" s="57"/>
    </row>
    <row r="188" spans="1:2" x14ac:dyDescent="0.2">
      <c r="A188" s="57"/>
      <c r="B188" s="57"/>
    </row>
    <row r="189" spans="1:2" x14ac:dyDescent="0.2">
      <c r="A189" s="57"/>
      <c r="B189" s="57"/>
    </row>
    <row r="190" spans="1:2" x14ac:dyDescent="0.2">
      <c r="A190" s="57"/>
      <c r="B190" s="57"/>
    </row>
    <row r="191" spans="1:2" x14ac:dyDescent="0.2">
      <c r="A191" s="57"/>
      <c r="B191" s="57"/>
    </row>
    <row r="192" spans="1:2" x14ac:dyDescent="0.2">
      <c r="A192" s="57"/>
      <c r="B192" s="57"/>
    </row>
    <row r="193" spans="1:2" x14ac:dyDescent="0.2">
      <c r="A193" s="57"/>
      <c r="B193" s="57"/>
    </row>
    <row r="194" spans="1:2" x14ac:dyDescent="0.2">
      <c r="A194" s="57"/>
      <c r="B194" s="57"/>
    </row>
    <row r="195" spans="1:2" x14ac:dyDescent="0.2">
      <c r="A195" s="57"/>
      <c r="B195" s="57"/>
    </row>
    <row r="196" spans="1:2" x14ac:dyDescent="0.2">
      <c r="A196" s="57"/>
      <c r="B196" s="57"/>
    </row>
    <row r="197" spans="1:2" x14ac:dyDescent="0.2">
      <c r="A197" s="57"/>
      <c r="B197" s="57"/>
    </row>
    <row r="198" spans="1:2" x14ac:dyDescent="0.2">
      <c r="A198" s="57"/>
      <c r="B198" s="57"/>
    </row>
    <row r="199" spans="1:2" x14ac:dyDescent="0.2">
      <c r="A199" s="57"/>
      <c r="B199" s="57"/>
    </row>
    <row r="200" spans="1:2" x14ac:dyDescent="0.2">
      <c r="A200" s="57"/>
      <c r="B200" s="57"/>
    </row>
    <row r="201" spans="1:2" x14ac:dyDescent="0.2">
      <c r="A201" s="57"/>
      <c r="B201" s="57"/>
    </row>
    <row r="202" spans="1:2" x14ac:dyDescent="0.2">
      <c r="A202" s="57"/>
      <c r="B202" s="57"/>
    </row>
    <row r="203" spans="1:2" x14ac:dyDescent="0.2">
      <c r="A203" s="57"/>
      <c r="B203" s="57"/>
    </row>
    <row r="204" spans="1:2" x14ac:dyDescent="0.2">
      <c r="A204" s="57"/>
      <c r="B204" s="57"/>
    </row>
    <row r="205" spans="1:2" x14ac:dyDescent="0.2">
      <c r="A205" s="57"/>
      <c r="B205" s="57"/>
    </row>
    <row r="206" spans="1:2" x14ac:dyDescent="0.2">
      <c r="A206" s="57"/>
      <c r="B206" s="57"/>
    </row>
    <row r="207" spans="1:2" x14ac:dyDescent="0.2">
      <c r="A207" s="57"/>
      <c r="B207" s="57"/>
    </row>
    <row r="208" spans="1:2" x14ac:dyDescent="0.2">
      <c r="A208" s="57"/>
      <c r="B208" s="57"/>
    </row>
    <row r="209" spans="1:2" x14ac:dyDescent="0.2">
      <c r="A209" s="57"/>
      <c r="B209" s="57"/>
    </row>
    <row r="210" spans="1:2" x14ac:dyDescent="0.2">
      <c r="A210" s="57"/>
      <c r="B210" s="57"/>
    </row>
    <row r="211" spans="1:2" x14ac:dyDescent="0.2">
      <c r="A211" s="57"/>
      <c r="B211" s="57"/>
    </row>
    <row r="212" spans="1:2" x14ac:dyDescent="0.2">
      <c r="A212" s="57"/>
      <c r="B212" s="57"/>
    </row>
    <row r="213" spans="1:2" x14ac:dyDescent="0.2">
      <c r="A213" s="57"/>
      <c r="B213" s="57"/>
    </row>
    <row r="214" spans="1:2" x14ac:dyDescent="0.2">
      <c r="A214" s="57"/>
      <c r="B214" s="57"/>
    </row>
    <row r="215" spans="1:2" x14ac:dyDescent="0.2">
      <c r="A215" s="57"/>
      <c r="B215" s="57"/>
    </row>
    <row r="216" spans="1:2" x14ac:dyDescent="0.2">
      <c r="A216" s="57"/>
      <c r="B216" s="57"/>
    </row>
    <row r="217" spans="1:2" x14ac:dyDescent="0.2">
      <c r="A217" s="57"/>
      <c r="B217" s="57"/>
    </row>
    <row r="218" spans="1:2" x14ac:dyDescent="0.2">
      <c r="A218" s="57"/>
      <c r="B218" s="57"/>
    </row>
    <row r="219" spans="1:2" x14ac:dyDescent="0.2">
      <c r="A219" s="57"/>
      <c r="B219" s="57"/>
    </row>
    <row r="220" spans="1:2" x14ac:dyDescent="0.2">
      <c r="A220" s="57"/>
      <c r="B220" s="57"/>
    </row>
    <row r="221" spans="1:2" x14ac:dyDescent="0.2">
      <c r="A221" s="57"/>
      <c r="B221" s="57"/>
    </row>
    <row r="222" spans="1:2" x14ac:dyDescent="0.2">
      <c r="A222" s="57"/>
      <c r="B222" s="57"/>
    </row>
    <row r="223" spans="1:2" x14ac:dyDescent="0.2">
      <c r="A223" s="57"/>
      <c r="B223" s="57"/>
    </row>
    <row r="224" spans="1:2" x14ac:dyDescent="0.2">
      <c r="A224" s="57"/>
      <c r="B224" s="57"/>
    </row>
    <row r="225" spans="1:2" x14ac:dyDescent="0.2">
      <c r="A225" s="57"/>
      <c r="B225" s="57"/>
    </row>
    <row r="226" spans="1:2" x14ac:dyDescent="0.2">
      <c r="A226" s="57"/>
      <c r="B226" s="57"/>
    </row>
    <row r="227" spans="1:2" x14ac:dyDescent="0.2">
      <c r="A227" s="57"/>
      <c r="B227" s="57"/>
    </row>
    <row r="228" spans="1:2" x14ac:dyDescent="0.2">
      <c r="A228" s="57"/>
      <c r="B228" s="57"/>
    </row>
    <row r="229" spans="1:2" x14ac:dyDescent="0.2">
      <c r="A229" s="57"/>
      <c r="B229" s="57"/>
    </row>
    <row r="230" spans="1:2" x14ac:dyDescent="0.2">
      <c r="A230" s="57"/>
      <c r="B230" s="57"/>
    </row>
    <row r="231" spans="1:2" x14ac:dyDescent="0.2">
      <c r="A231" s="57"/>
      <c r="B231" s="57"/>
    </row>
    <row r="232" spans="1:2" x14ac:dyDescent="0.2">
      <c r="A232" s="57"/>
      <c r="B232" s="57"/>
    </row>
    <row r="233" spans="1:2" x14ac:dyDescent="0.2">
      <c r="A233" s="57"/>
      <c r="B233" s="57"/>
    </row>
    <row r="234" spans="1:2" x14ac:dyDescent="0.2">
      <c r="A234" s="57"/>
      <c r="B234" s="57"/>
    </row>
    <row r="235" spans="1:2" x14ac:dyDescent="0.2">
      <c r="A235" s="57"/>
      <c r="B235" s="57"/>
    </row>
    <row r="236" spans="1:2" x14ac:dyDescent="0.2">
      <c r="A236" s="57"/>
      <c r="B236" s="57"/>
    </row>
    <row r="237" spans="1:2" x14ac:dyDescent="0.2">
      <c r="A237" s="57"/>
      <c r="B237" s="57"/>
    </row>
    <row r="238" spans="1:2" x14ac:dyDescent="0.2">
      <c r="A238" s="57"/>
      <c r="B238" s="57"/>
    </row>
    <row r="239" spans="1:2" x14ac:dyDescent="0.2">
      <c r="A239" s="57"/>
      <c r="B239" s="57"/>
    </row>
    <row r="240" spans="1:2" x14ac:dyDescent="0.2">
      <c r="A240" s="57"/>
      <c r="B240" s="57"/>
    </row>
    <row r="241" spans="1:2" x14ac:dyDescent="0.2">
      <c r="A241" s="57"/>
      <c r="B241" s="57"/>
    </row>
    <row r="242" spans="1:2" x14ac:dyDescent="0.2">
      <c r="A242" s="57"/>
      <c r="B242" s="57"/>
    </row>
    <row r="243" spans="1:2" x14ac:dyDescent="0.2">
      <c r="A243" s="57"/>
      <c r="B243" s="57"/>
    </row>
    <row r="244" spans="1:2" x14ac:dyDescent="0.2">
      <c r="A244" s="57"/>
      <c r="B244" s="57"/>
    </row>
    <row r="245" spans="1:2" x14ac:dyDescent="0.2">
      <c r="A245" s="57"/>
      <c r="B245" s="57"/>
    </row>
    <row r="246" spans="1:2" x14ac:dyDescent="0.2">
      <c r="A246" s="57"/>
      <c r="B246" s="57"/>
    </row>
    <row r="247" spans="1:2" x14ac:dyDescent="0.2">
      <c r="A247" s="57"/>
      <c r="B247" s="57"/>
    </row>
    <row r="248" spans="1:2" x14ac:dyDescent="0.2">
      <c r="A248" s="57"/>
      <c r="B248" s="57"/>
    </row>
    <row r="249" spans="1:2" x14ac:dyDescent="0.2">
      <c r="A249" s="57"/>
      <c r="B249" s="57"/>
    </row>
    <row r="250" spans="1:2" x14ac:dyDescent="0.2">
      <c r="A250" s="57"/>
      <c r="B250" s="57"/>
    </row>
    <row r="251" spans="1:2" x14ac:dyDescent="0.2">
      <c r="A251" s="57"/>
      <c r="B251" s="57"/>
    </row>
    <row r="252" spans="1:2" x14ac:dyDescent="0.2">
      <c r="A252" s="57"/>
      <c r="B252" s="57"/>
    </row>
    <row r="253" spans="1:2" x14ac:dyDescent="0.2">
      <c r="A253" s="57"/>
      <c r="B253" s="57"/>
    </row>
    <row r="254" spans="1:2" x14ac:dyDescent="0.2">
      <c r="A254" s="57"/>
      <c r="B254" s="57"/>
    </row>
    <row r="255" spans="1:2" x14ac:dyDescent="0.2">
      <c r="A255" s="57"/>
      <c r="B255" s="57"/>
    </row>
    <row r="256" spans="1:2" x14ac:dyDescent="0.2">
      <c r="A256" s="57"/>
      <c r="B256" s="57"/>
    </row>
    <row r="257" spans="1:2" x14ac:dyDescent="0.2">
      <c r="A257" s="57"/>
      <c r="B257" s="57"/>
    </row>
    <row r="258" spans="1:2" x14ac:dyDescent="0.2">
      <c r="A258" s="57"/>
      <c r="B258" s="57"/>
    </row>
    <row r="259" spans="1:2" x14ac:dyDescent="0.2">
      <c r="A259" s="57"/>
      <c r="B259" s="57"/>
    </row>
    <row r="260" spans="1:2" x14ac:dyDescent="0.2">
      <c r="A260" s="57"/>
      <c r="B260" s="57"/>
    </row>
    <row r="261" spans="1:2" x14ac:dyDescent="0.2">
      <c r="A261" s="57"/>
      <c r="B261" s="57"/>
    </row>
    <row r="262" spans="1:2" x14ac:dyDescent="0.2">
      <c r="A262" s="57"/>
      <c r="B262" s="57"/>
    </row>
    <row r="263" spans="1:2" x14ac:dyDescent="0.2">
      <c r="A263" s="57"/>
      <c r="B263" s="57"/>
    </row>
    <row r="264" spans="1:2" x14ac:dyDescent="0.2">
      <c r="A264" s="57"/>
      <c r="B264" s="57"/>
    </row>
    <row r="265" spans="1:2" x14ac:dyDescent="0.2">
      <c r="A265" s="57"/>
      <c r="B265" s="57"/>
    </row>
    <row r="266" spans="1:2" x14ac:dyDescent="0.2">
      <c r="A266" s="57"/>
      <c r="B266" s="57"/>
    </row>
    <row r="267" spans="1:2" x14ac:dyDescent="0.2">
      <c r="A267" s="57"/>
      <c r="B267" s="57"/>
    </row>
    <row r="268" spans="1:2" x14ac:dyDescent="0.2">
      <c r="A268" s="57"/>
      <c r="B268" s="57"/>
    </row>
    <row r="269" spans="1:2" x14ac:dyDescent="0.2">
      <c r="A269" s="57"/>
      <c r="B269" s="57"/>
    </row>
    <row r="270" spans="1:2" x14ac:dyDescent="0.2">
      <c r="A270" s="57"/>
      <c r="B270" s="57"/>
    </row>
    <row r="271" spans="1:2" x14ac:dyDescent="0.2">
      <c r="A271" s="57"/>
      <c r="B271" s="57"/>
    </row>
    <row r="272" spans="1:2" x14ac:dyDescent="0.2">
      <c r="A272" s="57"/>
      <c r="B272" s="57"/>
    </row>
    <row r="273" spans="1:2" x14ac:dyDescent="0.2">
      <c r="A273" s="57"/>
      <c r="B273" s="57"/>
    </row>
    <row r="274" spans="1:2" x14ac:dyDescent="0.2">
      <c r="A274" s="57"/>
      <c r="B274" s="57"/>
    </row>
    <row r="275" spans="1:2" x14ac:dyDescent="0.2">
      <c r="A275" s="57"/>
      <c r="B275" s="57"/>
    </row>
    <row r="276" spans="1:2" x14ac:dyDescent="0.2">
      <c r="A276" s="57"/>
      <c r="B276" s="57"/>
    </row>
    <row r="277" spans="1:2" x14ac:dyDescent="0.2">
      <c r="A277" s="57"/>
      <c r="B277" s="57"/>
    </row>
    <row r="278" spans="1:2" x14ac:dyDescent="0.2">
      <c r="A278" s="57"/>
      <c r="B278" s="57"/>
    </row>
    <row r="279" spans="1:2" x14ac:dyDescent="0.2">
      <c r="A279" s="57"/>
      <c r="B279" s="57"/>
    </row>
    <row r="280" spans="1:2" x14ac:dyDescent="0.2">
      <c r="A280" s="57"/>
      <c r="B280" s="57"/>
    </row>
    <row r="281" spans="1:2" x14ac:dyDescent="0.2">
      <c r="A281" s="57"/>
      <c r="B281" s="57"/>
    </row>
    <row r="282" spans="1:2" x14ac:dyDescent="0.2">
      <c r="A282" s="57"/>
      <c r="B282" s="57"/>
    </row>
    <row r="283" spans="1:2" x14ac:dyDescent="0.2">
      <c r="A283" s="57"/>
      <c r="B283" s="57"/>
    </row>
    <row r="284" spans="1:2" x14ac:dyDescent="0.2">
      <c r="A284" s="57"/>
      <c r="B284" s="57"/>
    </row>
    <row r="285" spans="1:2" x14ac:dyDescent="0.2">
      <c r="A285" s="57"/>
      <c r="B285" s="57"/>
    </row>
    <row r="286" spans="1:2" x14ac:dyDescent="0.2">
      <c r="A286" s="57"/>
      <c r="B286" s="57"/>
    </row>
    <row r="287" spans="1:2" x14ac:dyDescent="0.2">
      <c r="A287" s="57"/>
      <c r="B287" s="57"/>
    </row>
    <row r="288" spans="1:2" x14ac:dyDescent="0.2">
      <c r="A288" s="57"/>
      <c r="B288" s="57"/>
    </row>
    <row r="289" spans="1:2" x14ac:dyDescent="0.2">
      <c r="A289" s="57"/>
      <c r="B289" s="57"/>
    </row>
    <row r="290" spans="1:2" x14ac:dyDescent="0.2">
      <c r="A290" s="57"/>
      <c r="B290" s="57"/>
    </row>
    <row r="291" spans="1:2" x14ac:dyDescent="0.2">
      <c r="A291" s="57"/>
      <c r="B291" s="57"/>
    </row>
    <row r="292" spans="1:2" x14ac:dyDescent="0.2">
      <c r="A292" s="57"/>
      <c r="B292" s="57"/>
    </row>
    <row r="293" spans="1:2" x14ac:dyDescent="0.2">
      <c r="A293" s="57"/>
      <c r="B293" s="57"/>
    </row>
    <row r="294" spans="1:2" x14ac:dyDescent="0.2">
      <c r="A294" s="57"/>
      <c r="B294" s="57"/>
    </row>
    <row r="295" spans="1:2" x14ac:dyDescent="0.2">
      <c r="A295" s="57"/>
      <c r="B295" s="57"/>
    </row>
    <row r="296" spans="1:2" x14ac:dyDescent="0.2">
      <c r="A296" s="57"/>
      <c r="B296" s="57"/>
    </row>
    <row r="297" spans="1:2" x14ac:dyDescent="0.2">
      <c r="A297" s="57"/>
      <c r="B297" s="57"/>
    </row>
    <row r="298" spans="1:2" x14ac:dyDescent="0.2">
      <c r="A298" s="57"/>
      <c r="B298" s="57"/>
    </row>
    <row r="299" spans="1:2" x14ac:dyDescent="0.2">
      <c r="A299" s="57"/>
      <c r="B299" s="57"/>
    </row>
    <row r="300" spans="1:2" x14ac:dyDescent="0.2">
      <c r="A300" s="57"/>
      <c r="B300" s="57"/>
    </row>
    <row r="301" spans="1:2" x14ac:dyDescent="0.2">
      <c r="A301" s="57"/>
      <c r="B301" s="57"/>
    </row>
    <row r="302" spans="1:2" x14ac:dyDescent="0.2">
      <c r="A302" s="57"/>
      <c r="B302" s="57"/>
    </row>
    <row r="303" spans="1:2" x14ac:dyDescent="0.2">
      <c r="A303" s="57"/>
      <c r="B303" s="57"/>
    </row>
    <row r="304" spans="1:2" x14ac:dyDescent="0.2">
      <c r="A304" s="57"/>
      <c r="B304" s="57"/>
    </row>
    <row r="305" spans="1:2" x14ac:dyDescent="0.2">
      <c r="A305" s="57"/>
      <c r="B305" s="57"/>
    </row>
    <row r="306" spans="1:2" x14ac:dyDescent="0.2">
      <c r="A306" s="57"/>
      <c r="B306" s="57"/>
    </row>
    <row r="307" spans="1:2" x14ac:dyDescent="0.2">
      <c r="A307" s="57"/>
      <c r="B307" s="57"/>
    </row>
    <row r="308" spans="1:2" x14ac:dyDescent="0.2">
      <c r="A308" s="57"/>
      <c r="B308" s="57"/>
    </row>
    <row r="309" spans="1:2" x14ac:dyDescent="0.2">
      <c r="A309" s="57"/>
      <c r="B309" s="57"/>
    </row>
    <row r="310" spans="1:2" x14ac:dyDescent="0.2">
      <c r="A310" s="57"/>
      <c r="B310" s="57"/>
    </row>
    <row r="311" spans="1:2" x14ac:dyDescent="0.2">
      <c r="A311" s="57"/>
      <c r="B311" s="57"/>
    </row>
    <row r="312" spans="1:2" x14ac:dyDescent="0.2">
      <c r="A312" s="57"/>
      <c r="B312" s="57"/>
    </row>
    <row r="313" spans="1:2" x14ac:dyDescent="0.2">
      <c r="A313" s="57"/>
      <c r="B313" s="57"/>
    </row>
    <row r="314" spans="1:2" x14ac:dyDescent="0.2">
      <c r="A314" s="57"/>
      <c r="B314" s="57"/>
    </row>
    <row r="315" spans="1:2" x14ac:dyDescent="0.2">
      <c r="A315" s="57"/>
      <c r="B315" s="57"/>
    </row>
    <row r="316" spans="1:2" x14ac:dyDescent="0.2">
      <c r="A316" s="57"/>
      <c r="B316" s="57"/>
    </row>
    <row r="317" spans="1:2" x14ac:dyDescent="0.2">
      <c r="A317" s="57"/>
      <c r="B317" s="57"/>
    </row>
    <row r="318" spans="1:2" x14ac:dyDescent="0.2">
      <c r="A318" s="57"/>
      <c r="B318" s="57"/>
    </row>
    <row r="319" spans="1:2" x14ac:dyDescent="0.2">
      <c r="A319" s="57"/>
      <c r="B319" s="57"/>
    </row>
    <row r="320" spans="1:2" x14ac:dyDescent="0.2">
      <c r="A320" s="57"/>
      <c r="B320" s="57"/>
    </row>
    <row r="321" spans="1:2" x14ac:dyDescent="0.2">
      <c r="A321" s="57"/>
      <c r="B321" s="57"/>
    </row>
    <row r="322" spans="1:2" x14ac:dyDescent="0.2">
      <c r="A322" s="57"/>
      <c r="B322" s="57"/>
    </row>
    <row r="323" spans="1:2" x14ac:dyDescent="0.2">
      <c r="A323" s="57"/>
      <c r="B323" s="57"/>
    </row>
    <row r="324" spans="1:2" x14ac:dyDescent="0.2">
      <c r="A324" s="57"/>
      <c r="B324" s="57"/>
    </row>
    <row r="325" spans="1:2" x14ac:dyDescent="0.2">
      <c r="A325" s="57"/>
      <c r="B325" s="57"/>
    </row>
    <row r="326" spans="1:2" x14ac:dyDescent="0.2">
      <c r="A326" s="57"/>
      <c r="B326" s="57"/>
    </row>
    <row r="327" spans="1:2" x14ac:dyDescent="0.2">
      <c r="A327" s="57"/>
      <c r="B327" s="57"/>
    </row>
    <row r="328" spans="1:2" x14ac:dyDescent="0.2">
      <c r="A328" s="57"/>
      <c r="B328" s="57"/>
    </row>
    <row r="329" spans="1:2" x14ac:dyDescent="0.2">
      <c r="A329" s="57"/>
      <c r="B329" s="57"/>
    </row>
    <row r="330" spans="1:2" x14ac:dyDescent="0.2">
      <c r="A330" s="57"/>
      <c r="B330" s="57"/>
    </row>
    <row r="331" spans="1:2" x14ac:dyDescent="0.2">
      <c r="A331" s="57"/>
      <c r="B331" s="57"/>
    </row>
    <row r="332" spans="1:2" x14ac:dyDescent="0.2">
      <c r="A332" s="57"/>
      <c r="B332" s="57"/>
    </row>
    <row r="333" spans="1:2" x14ac:dyDescent="0.2">
      <c r="A333" s="57"/>
      <c r="B333" s="57"/>
    </row>
    <row r="334" spans="1:2" x14ac:dyDescent="0.2">
      <c r="A334" s="57"/>
      <c r="B334" s="57"/>
    </row>
    <row r="335" spans="1:2" x14ac:dyDescent="0.2">
      <c r="A335" s="57"/>
      <c r="B335" s="57"/>
    </row>
    <row r="336" spans="1:2" x14ac:dyDescent="0.2">
      <c r="A336" s="57"/>
      <c r="B336" s="57"/>
    </row>
    <row r="337" spans="1:2" x14ac:dyDescent="0.2">
      <c r="A337" s="57"/>
      <c r="B337" s="57"/>
    </row>
    <row r="338" spans="1:2" x14ac:dyDescent="0.2">
      <c r="A338" s="57"/>
      <c r="B338" s="57"/>
    </row>
    <row r="339" spans="1:2" x14ac:dyDescent="0.2">
      <c r="A339" s="57"/>
      <c r="B339" s="57"/>
    </row>
    <row r="340" spans="1:2" x14ac:dyDescent="0.2">
      <c r="A340" s="57"/>
      <c r="B340" s="57"/>
    </row>
    <row r="341" spans="1:2" x14ac:dyDescent="0.2">
      <c r="A341" s="57"/>
      <c r="B341" s="57"/>
    </row>
    <row r="342" spans="1:2" x14ac:dyDescent="0.2">
      <c r="A342" s="57"/>
      <c r="B342" s="57"/>
    </row>
    <row r="343" spans="1:2" x14ac:dyDescent="0.2">
      <c r="A343" s="57"/>
      <c r="B343" s="57"/>
    </row>
    <row r="344" spans="1:2" x14ac:dyDescent="0.2">
      <c r="A344" s="57"/>
      <c r="B344" s="57"/>
    </row>
    <row r="345" spans="1:2" x14ac:dyDescent="0.2">
      <c r="A345" s="57"/>
      <c r="B345" s="57"/>
    </row>
    <row r="346" spans="1:2" x14ac:dyDescent="0.2">
      <c r="A346" s="57"/>
      <c r="B346" s="57"/>
    </row>
    <row r="347" spans="1:2" x14ac:dyDescent="0.2">
      <c r="A347" s="57"/>
      <c r="B347" s="57"/>
    </row>
    <row r="348" spans="1:2" x14ac:dyDescent="0.2">
      <c r="A348" s="57"/>
      <c r="B348" s="57"/>
    </row>
    <row r="349" spans="1:2" x14ac:dyDescent="0.2">
      <c r="A349" s="57"/>
      <c r="B349" s="57"/>
    </row>
    <row r="350" spans="1:2" x14ac:dyDescent="0.2">
      <c r="A350" s="57"/>
      <c r="B350" s="57"/>
    </row>
    <row r="351" spans="1:2" x14ac:dyDescent="0.2">
      <c r="A351" s="57"/>
      <c r="B351" s="57"/>
    </row>
    <row r="352" spans="1:2" x14ac:dyDescent="0.2">
      <c r="A352" s="57"/>
      <c r="B352" s="57"/>
    </row>
    <row r="353" spans="1:2" x14ac:dyDescent="0.2">
      <c r="A353" s="57"/>
      <c r="B353" s="57"/>
    </row>
    <row r="354" spans="1:2" x14ac:dyDescent="0.2">
      <c r="A354" s="57"/>
      <c r="B354" s="57"/>
    </row>
    <row r="355" spans="1:2" x14ac:dyDescent="0.2">
      <c r="A355" s="57"/>
      <c r="B355" s="57"/>
    </row>
    <row r="356" spans="1:2" x14ac:dyDescent="0.2">
      <c r="A356" s="57"/>
      <c r="B356" s="57"/>
    </row>
    <row r="357" spans="1:2" x14ac:dyDescent="0.2">
      <c r="A357" s="57"/>
      <c r="B357" s="57"/>
    </row>
    <row r="358" spans="1:2" x14ac:dyDescent="0.2">
      <c r="A358" s="57"/>
      <c r="B358" s="57"/>
    </row>
    <row r="359" spans="1:2" x14ac:dyDescent="0.2">
      <c r="A359" s="57"/>
      <c r="B359" s="57"/>
    </row>
    <row r="360" spans="1:2" x14ac:dyDescent="0.2">
      <c r="A360" s="57"/>
      <c r="B360" s="57"/>
    </row>
    <row r="361" spans="1:2" x14ac:dyDescent="0.2">
      <c r="A361" s="57"/>
      <c r="B361" s="57"/>
    </row>
    <row r="362" spans="1:2" x14ac:dyDescent="0.2">
      <c r="A362" s="57"/>
      <c r="B362" s="57"/>
    </row>
    <row r="363" spans="1:2" x14ac:dyDescent="0.2">
      <c r="A363" s="57"/>
      <c r="B363" s="57"/>
    </row>
    <row r="364" spans="1:2" x14ac:dyDescent="0.2">
      <c r="A364" s="57"/>
      <c r="B364" s="57"/>
    </row>
    <row r="365" spans="1:2" x14ac:dyDescent="0.2">
      <c r="A365" s="57"/>
      <c r="B365" s="57"/>
    </row>
    <row r="366" spans="1:2" x14ac:dyDescent="0.2">
      <c r="A366" s="57"/>
      <c r="B366" s="57"/>
    </row>
    <row r="367" spans="1:2" x14ac:dyDescent="0.2">
      <c r="A367" s="57"/>
      <c r="B367" s="57"/>
    </row>
    <row r="368" spans="1:2" x14ac:dyDescent="0.2">
      <c r="A368" s="57"/>
      <c r="B368" s="57"/>
    </row>
    <row r="369" spans="1:2" x14ac:dyDescent="0.2">
      <c r="A369" s="57"/>
      <c r="B369" s="57"/>
    </row>
    <row r="370" spans="1:2" x14ac:dyDescent="0.2">
      <c r="A370" s="57"/>
      <c r="B370" s="57"/>
    </row>
    <row r="371" spans="1:2" x14ac:dyDescent="0.2">
      <c r="A371" s="57"/>
      <c r="B371" s="57"/>
    </row>
    <row r="372" spans="1:2" x14ac:dyDescent="0.2">
      <c r="A372" s="57"/>
      <c r="B372" s="57"/>
    </row>
    <row r="373" spans="1:2" x14ac:dyDescent="0.2">
      <c r="A373" s="57"/>
      <c r="B373" s="57"/>
    </row>
    <row r="374" spans="1:2" x14ac:dyDescent="0.2">
      <c r="A374" s="57"/>
      <c r="B374" s="57"/>
    </row>
    <row r="375" spans="1:2" x14ac:dyDescent="0.2">
      <c r="A375" s="57"/>
      <c r="B375" s="57"/>
    </row>
    <row r="376" spans="1:2" x14ac:dyDescent="0.2">
      <c r="A376" s="57"/>
      <c r="B376" s="57"/>
    </row>
    <row r="377" spans="1:2" x14ac:dyDescent="0.2">
      <c r="A377" s="57"/>
      <c r="B377" s="57"/>
    </row>
    <row r="378" spans="1:2" x14ac:dyDescent="0.2">
      <c r="A378" s="57"/>
      <c r="B378" s="57"/>
    </row>
    <row r="379" spans="1:2" x14ac:dyDescent="0.2">
      <c r="A379" s="57"/>
      <c r="B379" s="57"/>
    </row>
    <row r="380" spans="1:2" x14ac:dyDescent="0.2">
      <c r="A380" s="57"/>
      <c r="B380" s="57"/>
    </row>
    <row r="381" spans="1:2" x14ac:dyDescent="0.2">
      <c r="A381" s="57"/>
      <c r="B381" s="57"/>
    </row>
    <row r="382" spans="1:2" x14ac:dyDescent="0.2">
      <c r="A382" s="57"/>
      <c r="B382" s="57"/>
    </row>
    <row r="383" spans="1:2" x14ac:dyDescent="0.2">
      <c r="A383" s="57"/>
      <c r="B383" s="57"/>
    </row>
    <row r="384" spans="1:2" x14ac:dyDescent="0.2">
      <c r="A384" s="57"/>
      <c r="B384" s="57"/>
    </row>
    <row r="385" spans="1:2" x14ac:dyDescent="0.2">
      <c r="A385" s="57"/>
      <c r="B385" s="57"/>
    </row>
    <row r="386" spans="1:2" x14ac:dyDescent="0.2">
      <c r="A386" s="57"/>
      <c r="B386" s="57"/>
    </row>
    <row r="387" spans="1:2" x14ac:dyDescent="0.2">
      <c r="A387" s="57"/>
      <c r="B387" s="57"/>
    </row>
    <row r="388" spans="1:2" x14ac:dyDescent="0.2">
      <c r="A388" s="57"/>
      <c r="B388" s="57"/>
    </row>
    <row r="389" spans="1:2" x14ac:dyDescent="0.2">
      <c r="A389" s="57"/>
      <c r="B389" s="57"/>
    </row>
    <row r="390" spans="1:2" x14ac:dyDescent="0.2">
      <c r="A390" s="57"/>
      <c r="B390" s="57"/>
    </row>
    <row r="391" spans="1:2" x14ac:dyDescent="0.2">
      <c r="A391" s="57"/>
      <c r="B391" s="57"/>
    </row>
    <row r="392" spans="1:2" x14ac:dyDescent="0.2">
      <c r="A392" s="57"/>
      <c r="B392" s="57"/>
    </row>
    <row r="393" spans="1:2" x14ac:dyDescent="0.2">
      <c r="A393" s="57"/>
      <c r="B393" s="57"/>
    </row>
    <row r="394" spans="1:2" x14ac:dyDescent="0.2">
      <c r="A394" s="57"/>
      <c r="B394" s="57"/>
    </row>
    <row r="395" spans="1:2" x14ac:dyDescent="0.2">
      <c r="A395" s="57"/>
      <c r="B395" s="57"/>
    </row>
    <row r="396" spans="1:2" x14ac:dyDescent="0.2">
      <c r="A396" s="57"/>
      <c r="B396" s="57"/>
    </row>
    <row r="397" spans="1:2" x14ac:dyDescent="0.2">
      <c r="A397" s="57"/>
      <c r="B397" s="57"/>
    </row>
    <row r="398" spans="1:2" x14ac:dyDescent="0.2">
      <c r="A398" s="57"/>
      <c r="B398" s="57"/>
    </row>
    <row r="399" spans="1:2" x14ac:dyDescent="0.2">
      <c r="A399" s="57"/>
      <c r="B399" s="57"/>
    </row>
    <row r="400" spans="1:2" x14ac:dyDescent="0.2">
      <c r="A400" s="57"/>
      <c r="B400" s="57"/>
    </row>
    <row r="401" spans="1:2" x14ac:dyDescent="0.2">
      <c r="A401" s="57"/>
      <c r="B401" s="57"/>
    </row>
    <row r="402" spans="1:2" x14ac:dyDescent="0.2">
      <c r="A402" s="57"/>
      <c r="B402" s="57"/>
    </row>
    <row r="403" spans="1:2" x14ac:dyDescent="0.2">
      <c r="A403" s="57"/>
      <c r="B403" s="57"/>
    </row>
    <row r="404" spans="1:2" x14ac:dyDescent="0.2">
      <c r="A404" s="57"/>
      <c r="B404" s="57"/>
    </row>
    <row r="405" spans="1:2" x14ac:dyDescent="0.2">
      <c r="A405" s="57"/>
      <c r="B405" s="57"/>
    </row>
    <row r="406" spans="1:2" x14ac:dyDescent="0.2">
      <c r="A406" s="57"/>
      <c r="B406" s="57"/>
    </row>
    <row r="407" spans="1:2" x14ac:dyDescent="0.2">
      <c r="A407" s="57"/>
      <c r="B407" s="57"/>
    </row>
    <row r="408" spans="1:2" x14ac:dyDescent="0.2">
      <c r="A408" s="57"/>
      <c r="B408" s="57"/>
    </row>
    <row r="409" spans="1:2" x14ac:dyDescent="0.2">
      <c r="A409" s="57"/>
      <c r="B409" s="57"/>
    </row>
    <row r="410" spans="1:2" x14ac:dyDescent="0.2">
      <c r="A410" s="57"/>
      <c r="B410" s="57"/>
    </row>
    <row r="411" spans="1:2" x14ac:dyDescent="0.2">
      <c r="A411" s="57"/>
      <c r="B411" s="57"/>
    </row>
    <row r="412" spans="1:2" x14ac:dyDescent="0.2">
      <c r="A412" s="57"/>
      <c r="B412" s="57"/>
    </row>
    <row r="413" spans="1:2" x14ac:dyDescent="0.2">
      <c r="A413" s="57"/>
      <c r="B413" s="57"/>
    </row>
    <row r="414" spans="1:2" x14ac:dyDescent="0.2">
      <c r="A414" s="57"/>
      <c r="B414" s="57"/>
    </row>
    <row r="415" spans="1:2" x14ac:dyDescent="0.2">
      <c r="A415" s="57"/>
      <c r="B415" s="57"/>
    </row>
    <row r="416" spans="1:2" x14ac:dyDescent="0.2">
      <c r="A416" s="57"/>
      <c r="B416" s="57"/>
    </row>
    <row r="417" spans="1:2" x14ac:dyDescent="0.2">
      <c r="A417" s="57"/>
      <c r="B417" s="57"/>
    </row>
    <row r="418" spans="1:2" x14ac:dyDescent="0.2">
      <c r="A418" s="57"/>
      <c r="B418" s="57"/>
    </row>
    <row r="419" spans="1:2" x14ac:dyDescent="0.2">
      <c r="A419" s="57"/>
      <c r="B419" s="57"/>
    </row>
    <row r="420" spans="1:2" x14ac:dyDescent="0.2">
      <c r="A420" s="57"/>
      <c r="B420" s="57"/>
    </row>
    <row r="421" spans="1:2" x14ac:dyDescent="0.2">
      <c r="A421" s="57"/>
      <c r="B421" s="57"/>
    </row>
    <row r="422" spans="1:2" x14ac:dyDescent="0.2">
      <c r="A422" s="57"/>
      <c r="B422" s="57"/>
    </row>
    <row r="423" spans="1:2" x14ac:dyDescent="0.2">
      <c r="A423" s="57"/>
      <c r="B423" s="57"/>
    </row>
    <row r="424" spans="1:2" x14ac:dyDescent="0.2">
      <c r="A424" s="57"/>
      <c r="B424" s="57"/>
    </row>
    <row r="425" spans="1:2" x14ac:dyDescent="0.2">
      <c r="A425" s="57"/>
      <c r="B425" s="57"/>
    </row>
    <row r="426" spans="1:2" x14ac:dyDescent="0.2">
      <c r="A426" s="57"/>
      <c r="B426" s="57"/>
    </row>
    <row r="427" spans="1:2" x14ac:dyDescent="0.2">
      <c r="A427" s="57"/>
      <c r="B427" s="57"/>
    </row>
    <row r="428" spans="1:2" x14ac:dyDescent="0.2">
      <c r="A428" s="57"/>
      <c r="B428" s="57"/>
    </row>
    <row r="429" spans="1:2" x14ac:dyDescent="0.2">
      <c r="A429" s="57"/>
      <c r="B429" s="57"/>
    </row>
    <row r="430" spans="1:2" x14ac:dyDescent="0.2">
      <c r="A430" s="57"/>
      <c r="B430" s="57"/>
    </row>
    <row r="431" spans="1:2" x14ac:dyDescent="0.2">
      <c r="A431" s="57"/>
      <c r="B431" s="57"/>
    </row>
    <row r="432" spans="1:2" x14ac:dyDescent="0.2">
      <c r="A432" s="57"/>
      <c r="B432" s="57"/>
    </row>
    <row r="433" spans="1:2" x14ac:dyDescent="0.2">
      <c r="A433" s="57"/>
      <c r="B433" s="57"/>
    </row>
    <row r="434" spans="1:2" x14ac:dyDescent="0.2">
      <c r="A434" s="57"/>
      <c r="B434" s="57"/>
    </row>
    <row r="435" spans="1:2" x14ac:dyDescent="0.2">
      <c r="A435" s="57"/>
      <c r="B435" s="57"/>
    </row>
    <row r="436" spans="1:2" x14ac:dyDescent="0.2">
      <c r="A436" s="57"/>
      <c r="B436" s="57"/>
    </row>
    <row r="437" spans="1:2" x14ac:dyDescent="0.2">
      <c r="A437" s="57"/>
      <c r="B437" s="57"/>
    </row>
    <row r="438" spans="1:2" x14ac:dyDescent="0.2">
      <c r="A438" s="57"/>
      <c r="B438" s="57"/>
    </row>
    <row r="439" spans="1:2" x14ac:dyDescent="0.2">
      <c r="A439" s="57"/>
      <c r="B439" s="57"/>
    </row>
    <row r="440" spans="1:2" x14ac:dyDescent="0.2">
      <c r="A440" s="57"/>
      <c r="B440" s="57"/>
    </row>
    <row r="441" spans="1:2" x14ac:dyDescent="0.2">
      <c r="A441" s="57"/>
      <c r="B441" s="57"/>
    </row>
    <row r="442" spans="1:2" x14ac:dyDescent="0.2">
      <c r="A442" s="57"/>
      <c r="B442" s="57"/>
    </row>
    <row r="443" spans="1:2" x14ac:dyDescent="0.2">
      <c r="A443" s="57"/>
      <c r="B443" s="57"/>
    </row>
    <row r="444" spans="1:2" x14ac:dyDescent="0.2">
      <c r="A444" s="57"/>
      <c r="B444" s="57"/>
    </row>
    <row r="445" spans="1:2" x14ac:dyDescent="0.2">
      <c r="A445" s="57"/>
      <c r="B445" s="57"/>
    </row>
    <row r="446" spans="1:2" x14ac:dyDescent="0.2">
      <c r="A446" s="57"/>
      <c r="B446" s="57"/>
    </row>
    <row r="447" spans="1:2" x14ac:dyDescent="0.2">
      <c r="A447" s="57"/>
      <c r="B447" s="57"/>
    </row>
    <row r="448" spans="1:2" x14ac:dyDescent="0.2">
      <c r="A448" s="57"/>
      <c r="B448" s="57"/>
    </row>
    <row r="449" spans="1:2" x14ac:dyDescent="0.2">
      <c r="A449" s="57"/>
      <c r="B449" s="57"/>
    </row>
    <row r="450" spans="1:2" x14ac:dyDescent="0.2">
      <c r="A450" s="57"/>
      <c r="B450" s="57"/>
    </row>
    <row r="451" spans="1:2" x14ac:dyDescent="0.2">
      <c r="A451" s="57"/>
      <c r="B451" s="57"/>
    </row>
    <row r="452" spans="1:2" x14ac:dyDescent="0.2">
      <c r="A452" s="57"/>
      <c r="B452" s="57"/>
    </row>
    <row r="453" spans="1:2" x14ac:dyDescent="0.2">
      <c r="A453" s="57"/>
      <c r="B453" s="57"/>
    </row>
    <row r="454" spans="1:2" x14ac:dyDescent="0.2">
      <c r="A454" s="57"/>
      <c r="B454" s="57"/>
    </row>
    <row r="455" spans="1:2" x14ac:dyDescent="0.2">
      <c r="A455" s="57"/>
      <c r="B455" s="57"/>
    </row>
    <row r="456" spans="1:2" x14ac:dyDescent="0.2">
      <c r="A456" s="57"/>
      <c r="B456" s="57"/>
    </row>
    <row r="457" spans="1:2" x14ac:dyDescent="0.2">
      <c r="A457" s="57"/>
      <c r="B457" s="57"/>
    </row>
    <row r="458" spans="1:2" x14ac:dyDescent="0.2">
      <c r="A458" s="57"/>
      <c r="B458" s="57"/>
    </row>
    <row r="459" spans="1:2" x14ac:dyDescent="0.2">
      <c r="A459" s="57"/>
      <c r="B459" s="57"/>
    </row>
    <row r="460" spans="1:2" x14ac:dyDescent="0.2">
      <c r="A460" s="57"/>
      <c r="B460" s="57"/>
    </row>
    <row r="461" spans="1:2" x14ac:dyDescent="0.2">
      <c r="A461" s="57"/>
      <c r="B461" s="57"/>
    </row>
    <row r="462" spans="1:2" x14ac:dyDescent="0.2">
      <c r="A462" s="57"/>
      <c r="B462" s="57"/>
    </row>
    <row r="463" spans="1:2" x14ac:dyDescent="0.2">
      <c r="A463" s="57"/>
      <c r="B463" s="57"/>
    </row>
    <row r="464" spans="1:2" x14ac:dyDescent="0.2">
      <c r="A464" s="57"/>
      <c r="B464" s="57"/>
    </row>
    <row r="465" spans="1:2" x14ac:dyDescent="0.2">
      <c r="A465" s="57"/>
      <c r="B465" s="57"/>
    </row>
    <row r="466" spans="1:2" x14ac:dyDescent="0.2">
      <c r="A466" s="57"/>
      <c r="B466" s="57"/>
    </row>
    <row r="467" spans="1:2" x14ac:dyDescent="0.2">
      <c r="A467" s="57"/>
      <c r="B467" s="57"/>
    </row>
    <row r="468" spans="1:2" x14ac:dyDescent="0.2">
      <c r="A468" s="57"/>
      <c r="B468" s="57"/>
    </row>
    <row r="469" spans="1:2" x14ac:dyDescent="0.2">
      <c r="A469" s="57"/>
      <c r="B469" s="57"/>
    </row>
    <row r="470" spans="1:2" x14ac:dyDescent="0.2">
      <c r="A470" s="57"/>
      <c r="B470" s="57"/>
    </row>
    <row r="471" spans="1:2" x14ac:dyDescent="0.2">
      <c r="A471" s="57"/>
      <c r="B471" s="57"/>
    </row>
    <row r="472" spans="1:2" x14ac:dyDescent="0.2">
      <c r="A472" s="57"/>
      <c r="B472" s="57"/>
    </row>
    <row r="473" spans="1:2" x14ac:dyDescent="0.2">
      <c r="A473" s="57"/>
      <c r="B473" s="57"/>
    </row>
    <row r="474" spans="1:2" x14ac:dyDescent="0.2">
      <c r="A474" s="57"/>
      <c r="B474" s="57"/>
    </row>
    <row r="475" spans="1:2" x14ac:dyDescent="0.2">
      <c r="A475" s="57"/>
      <c r="B475" s="57"/>
    </row>
    <row r="476" spans="1:2" x14ac:dyDescent="0.2">
      <c r="A476" s="57"/>
      <c r="B476" s="57"/>
    </row>
    <row r="477" spans="1:2" x14ac:dyDescent="0.2">
      <c r="A477" s="57"/>
      <c r="B477" s="57"/>
    </row>
    <row r="478" spans="1:2" x14ac:dyDescent="0.2">
      <c r="A478" s="57"/>
      <c r="B478" s="57"/>
    </row>
    <row r="479" spans="1:2" x14ac:dyDescent="0.2">
      <c r="A479" s="57"/>
      <c r="B479" s="57"/>
    </row>
    <row r="480" spans="1:2" x14ac:dyDescent="0.2">
      <c r="A480" s="57"/>
      <c r="B480" s="57"/>
    </row>
    <row r="481" spans="1:2" x14ac:dyDescent="0.2">
      <c r="A481" s="57"/>
      <c r="B481" s="57"/>
    </row>
    <row r="482" spans="1:2" x14ac:dyDescent="0.2">
      <c r="A482" s="57"/>
      <c r="B482" s="57"/>
    </row>
    <row r="483" spans="1:2" x14ac:dyDescent="0.2">
      <c r="A483" s="57"/>
      <c r="B483" s="57"/>
    </row>
    <row r="484" spans="1:2" x14ac:dyDescent="0.2">
      <c r="A484" s="57"/>
      <c r="B484" s="57"/>
    </row>
    <row r="485" spans="1:2" x14ac:dyDescent="0.2">
      <c r="A485" s="57"/>
      <c r="B485" s="57"/>
    </row>
    <row r="486" spans="1:2" x14ac:dyDescent="0.2">
      <c r="A486" s="57"/>
      <c r="B486" s="57"/>
    </row>
    <row r="487" spans="1:2" x14ac:dyDescent="0.2">
      <c r="A487" s="57"/>
      <c r="B487" s="57"/>
    </row>
    <row r="488" spans="1:2" x14ac:dyDescent="0.2">
      <c r="A488" s="57"/>
      <c r="B488" s="57"/>
    </row>
    <row r="489" spans="1:2" x14ac:dyDescent="0.2">
      <c r="A489" s="57"/>
      <c r="B489" s="57"/>
    </row>
    <row r="490" spans="1:2" x14ac:dyDescent="0.2">
      <c r="A490" s="57"/>
      <c r="B490" s="57"/>
    </row>
    <row r="491" spans="1:2" x14ac:dyDescent="0.2">
      <c r="A491" s="57"/>
      <c r="B491" s="57"/>
    </row>
    <row r="492" spans="1:2" x14ac:dyDescent="0.2">
      <c r="A492" s="57"/>
      <c r="B492" s="57"/>
    </row>
    <row r="493" spans="1:2" x14ac:dyDescent="0.2">
      <c r="A493" s="57"/>
      <c r="B493" s="57"/>
    </row>
    <row r="494" spans="1:2" x14ac:dyDescent="0.2">
      <c r="A494" s="57"/>
      <c r="B494" s="57"/>
    </row>
    <row r="495" spans="1:2" x14ac:dyDescent="0.2">
      <c r="A495" s="57"/>
      <c r="B495" s="57"/>
    </row>
    <row r="496" spans="1:2" x14ac:dyDescent="0.2">
      <c r="A496" s="57"/>
      <c r="B496" s="57"/>
    </row>
    <row r="497" spans="1:2" x14ac:dyDescent="0.2">
      <c r="A497" s="57"/>
      <c r="B497" s="57"/>
    </row>
    <row r="498" spans="1:2" x14ac:dyDescent="0.2">
      <c r="A498" s="57"/>
      <c r="B498" s="57"/>
    </row>
    <row r="499" spans="1:2" x14ac:dyDescent="0.2">
      <c r="A499" s="57"/>
      <c r="B499" s="57"/>
    </row>
    <row r="500" spans="1:2" x14ac:dyDescent="0.2">
      <c r="A500" s="57"/>
      <c r="B500" s="57"/>
    </row>
    <row r="501" spans="1:2" x14ac:dyDescent="0.2">
      <c r="A501" s="57"/>
      <c r="B501" s="57"/>
    </row>
    <row r="502" spans="1:2" x14ac:dyDescent="0.2">
      <c r="A502" s="57"/>
      <c r="B502" s="57"/>
    </row>
    <row r="503" spans="1:2" x14ac:dyDescent="0.2">
      <c r="A503" s="57"/>
      <c r="B503" s="57"/>
    </row>
    <row r="504" spans="1:2" x14ac:dyDescent="0.2">
      <c r="A504" s="57"/>
      <c r="B504" s="57"/>
    </row>
    <row r="505" spans="1:2" x14ac:dyDescent="0.2">
      <c r="A505" s="57"/>
      <c r="B505" s="57"/>
    </row>
    <row r="506" spans="1:2" x14ac:dyDescent="0.2">
      <c r="A506" s="57"/>
      <c r="B506" s="57"/>
    </row>
    <row r="507" spans="1:2" x14ac:dyDescent="0.2">
      <c r="A507" s="57"/>
      <c r="B507" s="57"/>
    </row>
    <row r="508" spans="1:2" x14ac:dyDescent="0.2">
      <c r="A508" s="57"/>
      <c r="B508" s="57"/>
    </row>
    <row r="509" spans="1:2" x14ac:dyDescent="0.2">
      <c r="A509" s="57"/>
      <c r="B509" s="57"/>
    </row>
    <row r="510" spans="1:2" x14ac:dyDescent="0.2">
      <c r="A510" s="57"/>
      <c r="B510" s="57"/>
    </row>
    <row r="511" spans="1:2" x14ac:dyDescent="0.2">
      <c r="A511" s="57"/>
      <c r="B511" s="57"/>
    </row>
    <row r="512" spans="1:2" x14ac:dyDescent="0.2">
      <c r="A512" s="57"/>
      <c r="B512" s="57"/>
    </row>
    <row r="513" spans="1:2" x14ac:dyDescent="0.2">
      <c r="A513" s="57"/>
      <c r="B513" s="57"/>
    </row>
    <row r="514" spans="1:2" x14ac:dyDescent="0.2">
      <c r="A514" s="57"/>
      <c r="B514" s="57"/>
    </row>
    <row r="515" spans="1:2" x14ac:dyDescent="0.2">
      <c r="A515" s="57"/>
      <c r="B515" s="57"/>
    </row>
    <row r="516" spans="1:2" x14ac:dyDescent="0.2">
      <c r="A516" s="57"/>
      <c r="B516" s="57"/>
    </row>
    <row r="517" spans="1:2" x14ac:dyDescent="0.2">
      <c r="A517" s="57"/>
      <c r="B517" s="57"/>
    </row>
    <row r="518" spans="1:2" x14ac:dyDescent="0.2">
      <c r="A518" s="57"/>
      <c r="B518" s="57"/>
    </row>
    <row r="519" spans="1:2" x14ac:dyDescent="0.2">
      <c r="A519" s="57"/>
      <c r="B519" s="57"/>
    </row>
    <row r="520" spans="1:2" x14ac:dyDescent="0.2">
      <c r="A520" s="57"/>
      <c r="B520" s="57"/>
    </row>
    <row r="521" spans="1:2" x14ac:dyDescent="0.2">
      <c r="A521" s="57"/>
      <c r="B521" s="57"/>
    </row>
    <row r="522" spans="1:2" x14ac:dyDescent="0.2">
      <c r="A522" s="57"/>
      <c r="B522" s="57"/>
    </row>
    <row r="523" spans="1:2" x14ac:dyDescent="0.2">
      <c r="A523" s="57"/>
      <c r="B523" s="57"/>
    </row>
    <row r="524" spans="1:2" x14ac:dyDescent="0.2">
      <c r="A524" s="57"/>
      <c r="B524" s="57"/>
    </row>
    <row r="525" spans="1:2" x14ac:dyDescent="0.2">
      <c r="A525" s="57"/>
      <c r="B525" s="57"/>
    </row>
    <row r="526" spans="1:2" x14ac:dyDescent="0.2">
      <c r="A526" s="57"/>
      <c r="B526" s="57"/>
    </row>
    <row r="527" spans="1:2" x14ac:dyDescent="0.2">
      <c r="A527" s="57"/>
      <c r="B527" s="57"/>
    </row>
    <row r="528" spans="1:2" x14ac:dyDescent="0.2">
      <c r="A528" s="57"/>
      <c r="B528" s="57"/>
    </row>
    <row r="529" spans="1:2" x14ac:dyDescent="0.2">
      <c r="A529" s="57"/>
      <c r="B529" s="57"/>
    </row>
    <row r="530" spans="1:2" x14ac:dyDescent="0.2">
      <c r="A530" s="57"/>
      <c r="B530" s="57"/>
    </row>
    <row r="531" spans="1:2" x14ac:dyDescent="0.2">
      <c r="A531" s="57"/>
      <c r="B531" s="57"/>
    </row>
    <row r="532" spans="1:2" x14ac:dyDescent="0.2">
      <c r="A532" s="57"/>
      <c r="B532" s="57"/>
    </row>
    <row r="533" spans="1:2" x14ac:dyDescent="0.2">
      <c r="A533" s="57"/>
      <c r="B533" s="57"/>
    </row>
    <row r="534" spans="1:2" x14ac:dyDescent="0.2">
      <c r="A534" s="57"/>
      <c r="B534" s="57"/>
    </row>
    <row r="535" spans="1:2" x14ac:dyDescent="0.2">
      <c r="A535" s="57"/>
      <c r="B535" s="57"/>
    </row>
    <row r="536" spans="1:2" x14ac:dyDescent="0.2">
      <c r="A536" s="57"/>
      <c r="B536" s="57"/>
    </row>
    <row r="537" spans="1:2" x14ac:dyDescent="0.2">
      <c r="A537" s="57"/>
      <c r="B537" s="57"/>
    </row>
    <row r="538" spans="1:2" x14ac:dyDescent="0.2">
      <c r="A538" s="57"/>
      <c r="B538" s="57"/>
    </row>
    <row r="539" spans="1:2" x14ac:dyDescent="0.2">
      <c r="A539" s="57"/>
      <c r="B539" s="57"/>
    </row>
    <row r="540" spans="1:2" x14ac:dyDescent="0.2">
      <c r="A540" s="57"/>
      <c r="B540" s="57"/>
    </row>
    <row r="541" spans="1:2" x14ac:dyDescent="0.2">
      <c r="A541" s="57"/>
      <c r="B541" s="57"/>
    </row>
    <row r="542" spans="1:2" x14ac:dyDescent="0.2">
      <c r="A542" s="57"/>
      <c r="B542" s="57"/>
    </row>
    <row r="543" spans="1:2" x14ac:dyDescent="0.2">
      <c r="A543" s="57"/>
      <c r="B543" s="57"/>
    </row>
    <row r="544" spans="1:2" x14ac:dyDescent="0.2">
      <c r="A544" s="57"/>
      <c r="B544" s="57"/>
    </row>
    <row r="545" spans="1:2" x14ac:dyDescent="0.2">
      <c r="A545" s="57"/>
      <c r="B545" s="57"/>
    </row>
    <row r="546" spans="1:2" x14ac:dyDescent="0.2">
      <c r="A546" s="57"/>
      <c r="B546" s="57"/>
    </row>
    <row r="547" spans="1:2" x14ac:dyDescent="0.2">
      <c r="A547" s="57"/>
      <c r="B547" s="57"/>
    </row>
    <row r="548" spans="1:2" x14ac:dyDescent="0.2">
      <c r="A548" s="57"/>
      <c r="B548" s="57"/>
    </row>
    <row r="549" spans="1:2" x14ac:dyDescent="0.2">
      <c r="A549" s="57"/>
      <c r="B549" s="57"/>
    </row>
    <row r="550" spans="1:2" x14ac:dyDescent="0.2">
      <c r="A550" s="57"/>
      <c r="B550" s="57"/>
    </row>
    <row r="551" spans="1:2" x14ac:dyDescent="0.2">
      <c r="A551" s="57"/>
      <c r="B551" s="57"/>
    </row>
    <row r="552" spans="1:2" x14ac:dyDescent="0.2">
      <c r="A552" s="57"/>
      <c r="B552" s="57"/>
    </row>
    <row r="553" spans="1:2" x14ac:dyDescent="0.2">
      <c r="A553" s="57"/>
      <c r="B553" s="57"/>
    </row>
    <row r="554" spans="1:2" x14ac:dyDescent="0.2">
      <c r="A554" s="57"/>
      <c r="B554" s="57"/>
    </row>
    <row r="555" spans="1:2" x14ac:dyDescent="0.2">
      <c r="A555" s="57"/>
      <c r="B555" s="57"/>
    </row>
    <row r="556" spans="1:2" x14ac:dyDescent="0.2">
      <c r="A556" s="57"/>
      <c r="B556" s="57"/>
    </row>
    <row r="557" spans="1:2" x14ac:dyDescent="0.2">
      <c r="A557" s="57"/>
      <c r="B557" s="57"/>
    </row>
    <row r="558" spans="1:2" x14ac:dyDescent="0.2">
      <c r="A558" s="57"/>
      <c r="B558" s="57"/>
    </row>
    <row r="559" spans="1:2" x14ac:dyDescent="0.2">
      <c r="A559" s="57"/>
      <c r="B559" s="57"/>
    </row>
    <row r="560" spans="1:2" x14ac:dyDescent="0.2">
      <c r="A560" s="57"/>
      <c r="B560" s="57"/>
    </row>
    <row r="561" spans="1:2" x14ac:dyDescent="0.2">
      <c r="A561" s="57"/>
      <c r="B561" s="57"/>
    </row>
    <row r="562" spans="1:2" x14ac:dyDescent="0.2">
      <c r="A562" s="57"/>
      <c r="B562" s="57"/>
    </row>
    <row r="563" spans="1:2" x14ac:dyDescent="0.2">
      <c r="A563" s="57"/>
      <c r="B563" s="57"/>
    </row>
    <row r="564" spans="1:2" x14ac:dyDescent="0.2">
      <c r="A564" s="57"/>
      <c r="B564" s="57"/>
    </row>
    <row r="565" spans="1:2" x14ac:dyDescent="0.2">
      <c r="A565" s="57"/>
      <c r="B565" s="57"/>
    </row>
    <row r="566" spans="1:2" x14ac:dyDescent="0.2">
      <c r="A566" s="57"/>
      <c r="B566" s="57"/>
    </row>
    <row r="567" spans="1:2" x14ac:dyDescent="0.2">
      <c r="A567" s="57"/>
      <c r="B567" s="57"/>
    </row>
    <row r="568" spans="1:2" x14ac:dyDescent="0.2">
      <c r="A568" s="57"/>
      <c r="B568" s="57"/>
    </row>
    <row r="569" spans="1:2" x14ac:dyDescent="0.2">
      <c r="A569" s="57"/>
      <c r="B569" s="57"/>
    </row>
    <row r="570" spans="1:2" x14ac:dyDescent="0.2">
      <c r="A570" s="57"/>
      <c r="B570" s="57"/>
    </row>
    <row r="571" spans="1:2" x14ac:dyDescent="0.2">
      <c r="A571" s="57"/>
      <c r="B571" s="57"/>
    </row>
    <row r="572" spans="1:2" x14ac:dyDescent="0.2">
      <c r="A572" s="57"/>
      <c r="B572" s="57"/>
    </row>
    <row r="573" spans="1:2" x14ac:dyDescent="0.2">
      <c r="A573" s="57"/>
      <c r="B573" s="57"/>
    </row>
    <row r="574" spans="1:2" x14ac:dyDescent="0.2">
      <c r="A574" s="57"/>
      <c r="B574" s="57"/>
    </row>
    <row r="575" spans="1:2" x14ac:dyDescent="0.2">
      <c r="A575" s="57"/>
      <c r="B575" s="57"/>
    </row>
    <row r="576" spans="1:2" x14ac:dyDescent="0.2">
      <c r="A576" s="57"/>
      <c r="B576" s="57"/>
    </row>
    <row r="577" spans="1:2" x14ac:dyDescent="0.2">
      <c r="A577" s="57"/>
      <c r="B577" s="57"/>
    </row>
    <row r="578" spans="1:2" x14ac:dyDescent="0.2">
      <c r="A578" s="57"/>
      <c r="B578" s="57"/>
    </row>
    <row r="579" spans="1:2" x14ac:dyDescent="0.2">
      <c r="A579" s="57"/>
      <c r="B579" s="57"/>
    </row>
    <row r="580" spans="1:2" x14ac:dyDescent="0.2">
      <c r="A580" s="57"/>
      <c r="B580" s="57"/>
    </row>
    <row r="581" spans="1:2" x14ac:dyDescent="0.2">
      <c r="A581" s="57"/>
      <c r="B581" s="57"/>
    </row>
    <row r="582" spans="1:2" x14ac:dyDescent="0.2">
      <c r="A582" s="57"/>
      <c r="B582" s="57"/>
    </row>
    <row r="583" spans="1:2" x14ac:dyDescent="0.2">
      <c r="A583" s="57"/>
      <c r="B583" s="57"/>
    </row>
    <row r="584" spans="1:2" x14ac:dyDescent="0.2">
      <c r="A584" s="57"/>
      <c r="B584" s="57"/>
    </row>
    <row r="585" spans="1:2" x14ac:dyDescent="0.2">
      <c r="A585" s="57"/>
      <c r="B585" s="57"/>
    </row>
    <row r="586" spans="1:2" x14ac:dyDescent="0.2">
      <c r="A586" s="57"/>
      <c r="B586" s="57"/>
    </row>
    <row r="587" spans="1:2" x14ac:dyDescent="0.2">
      <c r="A587" s="57"/>
      <c r="B587" s="57"/>
    </row>
    <row r="588" spans="1:2" x14ac:dyDescent="0.2">
      <c r="A588" s="57"/>
      <c r="B588" s="57"/>
    </row>
    <row r="589" spans="1:2" x14ac:dyDescent="0.2">
      <c r="A589" s="57"/>
      <c r="B589" s="57"/>
    </row>
    <row r="590" spans="1:2" x14ac:dyDescent="0.2">
      <c r="A590" s="57"/>
      <c r="B590" s="57"/>
    </row>
    <row r="591" spans="1:2" x14ac:dyDescent="0.2">
      <c r="A591" s="57"/>
      <c r="B591" s="57"/>
    </row>
    <row r="592" spans="1:2" x14ac:dyDescent="0.2">
      <c r="A592" s="57"/>
      <c r="B592" s="57"/>
    </row>
    <row r="593" spans="1:2" x14ac:dyDescent="0.2">
      <c r="A593" s="57"/>
      <c r="B593" s="57"/>
    </row>
    <row r="594" spans="1:2" x14ac:dyDescent="0.2">
      <c r="A594" s="57"/>
      <c r="B594" s="57"/>
    </row>
    <row r="595" spans="1:2" x14ac:dyDescent="0.2">
      <c r="A595" s="57"/>
      <c r="B595" s="57"/>
    </row>
    <row r="596" spans="1:2" x14ac:dyDescent="0.2">
      <c r="A596" s="57"/>
      <c r="B596" s="57"/>
    </row>
    <row r="597" spans="1:2" x14ac:dyDescent="0.2">
      <c r="A597" s="57"/>
      <c r="B597" s="57"/>
    </row>
    <row r="598" spans="1:2" x14ac:dyDescent="0.2">
      <c r="A598" s="57"/>
      <c r="B598" s="57"/>
    </row>
    <row r="599" spans="1:2" x14ac:dyDescent="0.2">
      <c r="A599" s="57"/>
      <c r="B599" s="57"/>
    </row>
    <row r="600" spans="1:2" x14ac:dyDescent="0.2">
      <c r="A600" s="57"/>
      <c r="B600" s="57"/>
    </row>
    <row r="601" spans="1:2" x14ac:dyDescent="0.2">
      <c r="A601" s="57"/>
      <c r="B601" s="57"/>
    </row>
    <row r="602" spans="1:2" x14ac:dyDescent="0.2">
      <c r="A602" s="57"/>
      <c r="B602" s="57"/>
    </row>
    <row r="603" spans="1:2" x14ac:dyDescent="0.2">
      <c r="A603" s="57"/>
      <c r="B603" s="57"/>
    </row>
    <row r="604" spans="1:2" x14ac:dyDescent="0.2">
      <c r="A604" s="57"/>
      <c r="B604" s="57"/>
    </row>
    <row r="605" spans="1:2" x14ac:dyDescent="0.2">
      <c r="A605" s="57"/>
      <c r="B605" s="57"/>
    </row>
    <row r="606" spans="1:2" x14ac:dyDescent="0.2">
      <c r="A606" s="57"/>
      <c r="B606" s="57"/>
    </row>
    <row r="607" spans="1:2" x14ac:dyDescent="0.2">
      <c r="A607" s="57"/>
      <c r="B607" s="57"/>
    </row>
    <row r="608" spans="1:2" x14ac:dyDescent="0.2">
      <c r="A608" s="57"/>
      <c r="B608" s="57"/>
    </row>
    <row r="609" spans="1:2" x14ac:dyDescent="0.2">
      <c r="A609" s="57"/>
      <c r="B609" s="57"/>
    </row>
    <row r="610" spans="1:2" x14ac:dyDescent="0.2">
      <c r="A610" s="57"/>
      <c r="B610" s="57"/>
    </row>
    <row r="611" spans="1:2" x14ac:dyDescent="0.2">
      <c r="A611" s="57"/>
      <c r="B611" s="57"/>
    </row>
    <row r="612" spans="1:2" x14ac:dyDescent="0.2">
      <c r="A612" s="57"/>
      <c r="B612" s="57"/>
    </row>
    <row r="613" spans="1:2" x14ac:dyDescent="0.2">
      <c r="A613" s="57"/>
      <c r="B613" s="57"/>
    </row>
    <row r="614" spans="1:2" x14ac:dyDescent="0.2">
      <c r="A614" s="57"/>
      <c r="B614" s="57"/>
    </row>
    <row r="615" spans="1:2" x14ac:dyDescent="0.2">
      <c r="A615" s="57"/>
      <c r="B615" s="57"/>
    </row>
    <row r="616" spans="1:2" x14ac:dyDescent="0.2">
      <c r="A616" s="57"/>
      <c r="B616" s="57"/>
    </row>
    <row r="617" spans="1:2" x14ac:dyDescent="0.2">
      <c r="A617" s="57"/>
      <c r="B617" s="57"/>
    </row>
    <row r="618" spans="1:2" x14ac:dyDescent="0.2">
      <c r="A618" s="57"/>
      <c r="B618" s="57"/>
    </row>
    <row r="619" spans="1:2" x14ac:dyDescent="0.2">
      <c r="A619" s="57"/>
      <c r="B619" s="57"/>
    </row>
    <row r="620" spans="1:2" x14ac:dyDescent="0.2">
      <c r="A620" s="57"/>
      <c r="B620" s="57"/>
    </row>
    <row r="621" spans="1:2" x14ac:dyDescent="0.2">
      <c r="A621" s="57"/>
      <c r="B621" s="57"/>
    </row>
    <row r="622" spans="1:2" x14ac:dyDescent="0.2">
      <c r="A622" s="57"/>
      <c r="B622" s="57"/>
    </row>
    <row r="623" spans="1:2" x14ac:dyDescent="0.2">
      <c r="A623" s="57"/>
      <c r="B623" s="57"/>
    </row>
    <row r="624" spans="1:2" x14ac:dyDescent="0.2">
      <c r="A624" s="57"/>
      <c r="B624" s="57"/>
    </row>
    <row r="625" spans="1:2" x14ac:dyDescent="0.2">
      <c r="A625" s="57"/>
      <c r="B625" s="57"/>
    </row>
    <row r="626" spans="1:2" x14ac:dyDescent="0.2">
      <c r="A626" s="57"/>
      <c r="B626" s="57"/>
    </row>
    <row r="627" spans="1:2" x14ac:dyDescent="0.2">
      <c r="A627" s="57"/>
      <c r="B627" s="57"/>
    </row>
    <row r="628" spans="1:2" x14ac:dyDescent="0.2">
      <c r="A628" s="57"/>
      <c r="B628" s="57"/>
    </row>
    <row r="629" spans="1:2" x14ac:dyDescent="0.2">
      <c r="A629" s="57"/>
      <c r="B629" s="57"/>
    </row>
    <row r="630" spans="1:2" x14ac:dyDescent="0.2">
      <c r="A630" s="57"/>
      <c r="B630" s="57"/>
    </row>
    <row r="631" spans="1:2" x14ac:dyDescent="0.2">
      <c r="A631" s="57"/>
      <c r="B631" s="57"/>
    </row>
    <row r="632" spans="1:2" x14ac:dyDescent="0.2">
      <c r="A632" s="57"/>
      <c r="B632" s="57"/>
    </row>
    <row r="633" spans="1:2" x14ac:dyDescent="0.2">
      <c r="A633" s="57"/>
      <c r="B633" s="57"/>
    </row>
    <row r="634" spans="1:2" x14ac:dyDescent="0.2">
      <c r="A634" s="57"/>
      <c r="B634" s="57"/>
    </row>
    <row r="635" spans="1:2" x14ac:dyDescent="0.2">
      <c r="A635" s="57"/>
      <c r="B635" s="57"/>
    </row>
    <row r="636" spans="1:2" x14ac:dyDescent="0.2">
      <c r="A636" s="57"/>
      <c r="B636" s="57"/>
    </row>
    <row r="637" spans="1:2" x14ac:dyDescent="0.2">
      <c r="A637" s="57"/>
      <c r="B637" s="57"/>
    </row>
    <row r="638" spans="1:2" x14ac:dyDescent="0.2">
      <c r="A638" s="57"/>
      <c r="B638" s="57"/>
    </row>
    <row r="639" spans="1:2" x14ac:dyDescent="0.2">
      <c r="A639" s="57"/>
      <c r="B639" s="57"/>
    </row>
    <row r="640" spans="1:2" x14ac:dyDescent="0.2">
      <c r="A640" s="57"/>
      <c r="B640" s="57"/>
    </row>
    <row r="641" spans="1:2" x14ac:dyDescent="0.2">
      <c r="A641" s="57"/>
      <c r="B641" s="57"/>
    </row>
    <row r="642" spans="1:2" x14ac:dyDescent="0.2">
      <c r="A642" s="57"/>
      <c r="B642" s="57"/>
    </row>
    <row r="643" spans="1:2" x14ac:dyDescent="0.2">
      <c r="A643" s="57"/>
      <c r="B643" s="57"/>
    </row>
    <row r="644" spans="1:2" x14ac:dyDescent="0.2">
      <c r="A644" s="57"/>
      <c r="B644" s="57"/>
    </row>
    <row r="645" spans="1:2" x14ac:dyDescent="0.2">
      <c r="A645" s="57"/>
      <c r="B645" s="57"/>
    </row>
    <row r="646" spans="1:2" x14ac:dyDescent="0.2">
      <c r="A646" s="57"/>
      <c r="B646" s="57"/>
    </row>
    <row r="647" spans="1:2" x14ac:dyDescent="0.2">
      <c r="A647" s="57"/>
      <c r="B647" s="57"/>
    </row>
    <row r="648" spans="1:2" x14ac:dyDescent="0.2">
      <c r="A648" s="57"/>
      <c r="B648" s="57"/>
    </row>
    <row r="649" spans="1:2" x14ac:dyDescent="0.2">
      <c r="A649" s="57"/>
      <c r="B649" s="57"/>
    </row>
    <row r="650" spans="1:2" x14ac:dyDescent="0.2">
      <c r="A650" s="57"/>
      <c r="B650" s="57"/>
    </row>
    <row r="651" spans="1:2" x14ac:dyDescent="0.2">
      <c r="A651" s="57"/>
      <c r="B651" s="57"/>
    </row>
    <row r="652" spans="1:2" x14ac:dyDescent="0.2">
      <c r="A652" s="57"/>
      <c r="B652" s="57"/>
    </row>
    <row r="653" spans="1:2" x14ac:dyDescent="0.2">
      <c r="A653" s="57"/>
      <c r="B653" s="57"/>
    </row>
    <row r="654" spans="1:2" x14ac:dyDescent="0.2">
      <c r="A654" s="57"/>
      <c r="B654" s="57"/>
    </row>
    <row r="655" spans="1:2" x14ac:dyDescent="0.2">
      <c r="A655" s="57"/>
      <c r="B655" s="57"/>
    </row>
    <row r="656" spans="1:2" x14ac:dyDescent="0.2">
      <c r="A656" s="57"/>
      <c r="B656" s="57"/>
    </row>
    <row r="657" spans="1:2" x14ac:dyDescent="0.2">
      <c r="A657" s="57"/>
      <c r="B657" s="57"/>
    </row>
    <row r="658" spans="1:2" x14ac:dyDescent="0.2">
      <c r="A658" s="57"/>
      <c r="B658" s="57"/>
    </row>
    <row r="659" spans="1:2" x14ac:dyDescent="0.2">
      <c r="A659" s="57"/>
      <c r="B659" s="57"/>
    </row>
    <row r="660" spans="1:2" x14ac:dyDescent="0.2">
      <c r="A660" s="57"/>
      <c r="B660" s="57"/>
    </row>
    <row r="661" spans="1:2" x14ac:dyDescent="0.2">
      <c r="A661" s="57"/>
      <c r="B661" s="57"/>
    </row>
    <row r="662" spans="1:2" x14ac:dyDescent="0.2">
      <c r="A662" s="57"/>
      <c r="B662" s="57"/>
    </row>
    <row r="663" spans="1:2" x14ac:dyDescent="0.2">
      <c r="A663" s="57"/>
      <c r="B663" s="57"/>
    </row>
    <row r="664" spans="1:2" x14ac:dyDescent="0.2">
      <c r="A664" s="57"/>
      <c r="B664" s="57"/>
    </row>
    <row r="665" spans="1:2" x14ac:dyDescent="0.2">
      <c r="A665" s="57"/>
      <c r="B665" s="57"/>
    </row>
    <row r="666" spans="1:2" x14ac:dyDescent="0.2">
      <c r="A666" s="57"/>
      <c r="B666" s="57"/>
    </row>
    <row r="667" spans="1:2" x14ac:dyDescent="0.2">
      <c r="A667" s="57"/>
      <c r="B667" s="57"/>
    </row>
    <row r="668" spans="1:2" x14ac:dyDescent="0.2">
      <c r="A668" s="57"/>
      <c r="B668" s="57"/>
    </row>
    <row r="669" spans="1:2" x14ac:dyDescent="0.2">
      <c r="A669" s="57"/>
      <c r="B669" s="57"/>
    </row>
    <row r="670" spans="1:2" x14ac:dyDescent="0.2">
      <c r="A670" s="57"/>
      <c r="B670" s="57"/>
    </row>
    <row r="671" spans="1:2" x14ac:dyDescent="0.2">
      <c r="A671" s="57"/>
      <c r="B671" s="57"/>
    </row>
    <row r="672" spans="1:2" x14ac:dyDescent="0.2">
      <c r="A672" s="57"/>
      <c r="B672" s="57"/>
    </row>
    <row r="673" spans="1:2" x14ac:dyDescent="0.2">
      <c r="A673" s="57"/>
      <c r="B673" s="57"/>
    </row>
    <row r="674" spans="1:2" x14ac:dyDescent="0.2">
      <c r="A674" s="57"/>
      <c r="B674" s="57"/>
    </row>
    <row r="675" spans="1:2" x14ac:dyDescent="0.2">
      <c r="A675" s="57"/>
      <c r="B675" s="57"/>
    </row>
    <row r="676" spans="1:2" x14ac:dyDescent="0.2">
      <c r="A676" s="57"/>
      <c r="B676" s="57"/>
    </row>
    <row r="677" spans="1:2" x14ac:dyDescent="0.2">
      <c r="A677" s="57"/>
      <c r="B677" s="57"/>
    </row>
    <row r="678" spans="1:2" x14ac:dyDescent="0.2">
      <c r="A678" s="57"/>
      <c r="B678" s="57"/>
    </row>
    <row r="679" spans="1:2" x14ac:dyDescent="0.2">
      <c r="A679" s="57"/>
      <c r="B679" s="57"/>
    </row>
    <row r="680" spans="1:2" x14ac:dyDescent="0.2">
      <c r="A680" s="57"/>
      <c r="B680" s="57"/>
    </row>
    <row r="681" spans="1:2" x14ac:dyDescent="0.2">
      <c r="A681" s="57"/>
      <c r="B681" s="57"/>
    </row>
    <row r="682" spans="1:2" x14ac:dyDescent="0.2">
      <c r="A682" s="57"/>
      <c r="B682" s="57"/>
    </row>
    <row r="683" spans="1:2" x14ac:dyDescent="0.2">
      <c r="A683" s="57"/>
      <c r="B683" s="57"/>
    </row>
    <row r="684" spans="1:2" x14ac:dyDescent="0.2">
      <c r="A684" s="57"/>
      <c r="B684" s="57"/>
    </row>
    <row r="685" spans="1:2" x14ac:dyDescent="0.2">
      <c r="A685" s="57"/>
      <c r="B685" s="57"/>
    </row>
    <row r="686" spans="1:2" x14ac:dyDescent="0.2">
      <c r="A686" s="57"/>
      <c r="B686" s="57"/>
    </row>
    <row r="687" spans="1:2" x14ac:dyDescent="0.2">
      <c r="A687" s="57"/>
      <c r="B687" s="57"/>
    </row>
    <row r="688" spans="1:2" x14ac:dyDescent="0.2">
      <c r="A688" s="57"/>
      <c r="B688" s="57"/>
    </row>
    <row r="689" spans="1:2" x14ac:dyDescent="0.2">
      <c r="A689" s="57"/>
      <c r="B689" s="57"/>
    </row>
    <row r="690" spans="1:2" x14ac:dyDescent="0.2">
      <c r="A690" s="57"/>
      <c r="B690" s="57"/>
    </row>
    <row r="691" spans="1:2" x14ac:dyDescent="0.2">
      <c r="A691" s="57"/>
      <c r="B691" s="57"/>
    </row>
    <row r="692" spans="1:2" x14ac:dyDescent="0.2">
      <c r="A692" s="57"/>
      <c r="B692" s="57"/>
    </row>
    <row r="693" spans="1:2" x14ac:dyDescent="0.2">
      <c r="A693" s="57"/>
      <c r="B693" s="57"/>
    </row>
    <row r="694" spans="1:2" x14ac:dyDescent="0.2">
      <c r="A694" s="57"/>
      <c r="B694" s="57"/>
    </row>
    <row r="695" spans="1:2" x14ac:dyDescent="0.2">
      <c r="A695" s="57"/>
      <c r="B695" s="57"/>
    </row>
    <row r="696" spans="1:2" x14ac:dyDescent="0.2">
      <c r="A696" s="57"/>
      <c r="B696" s="57"/>
    </row>
    <row r="697" spans="1:2" x14ac:dyDescent="0.2">
      <c r="A697" s="57"/>
      <c r="B697" s="57"/>
    </row>
    <row r="698" spans="1:2" x14ac:dyDescent="0.2">
      <c r="A698" s="57"/>
      <c r="B698" s="57"/>
    </row>
    <row r="699" spans="1:2" x14ac:dyDescent="0.2">
      <c r="A699" s="57"/>
      <c r="B699" s="57"/>
    </row>
    <row r="700" spans="1:2" x14ac:dyDescent="0.2">
      <c r="A700" s="57"/>
      <c r="B700" s="57"/>
    </row>
    <row r="701" spans="1:2" x14ac:dyDescent="0.2">
      <c r="A701" s="57"/>
      <c r="B701" s="57"/>
    </row>
    <row r="702" spans="1:2" x14ac:dyDescent="0.2">
      <c r="A702" s="57"/>
      <c r="B702" s="57"/>
    </row>
    <row r="703" spans="1:2" x14ac:dyDescent="0.2">
      <c r="A703" s="57"/>
      <c r="B703" s="57"/>
    </row>
    <row r="704" spans="1:2" x14ac:dyDescent="0.2">
      <c r="A704" s="57"/>
      <c r="B704" s="57"/>
    </row>
    <row r="705" spans="1:2" x14ac:dyDescent="0.2">
      <c r="A705" s="57"/>
      <c r="B705" s="57"/>
    </row>
    <row r="706" spans="1:2" x14ac:dyDescent="0.2">
      <c r="A706" s="57"/>
      <c r="B706" s="57"/>
    </row>
    <row r="707" spans="1:2" x14ac:dyDescent="0.2">
      <c r="A707" s="57"/>
      <c r="B707" s="57"/>
    </row>
    <row r="708" spans="1:2" x14ac:dyDescent="0.2">
      <c r="A708" s="57"/>
      <c r="B708" s="57"/>
    </row>
    <row r="709" spans="1:2" x14ac:dyDescent="0.2">
      <c r="A709" s="57"/>
      <c r="B709" s="57"/>
    </row>
    <row r="710" spans="1:2" x14ac:dyDescent="0.2">
      <c r="A710" s="57"/>
      <c r="B710" s="57"/>
    </row>
    <row r="711" spans="1:2" x14ac:dyDescent="0.2">
      <c r="A711" s="57"/>
      <c r="B711" s="57"/>
    </row>
    <row r="712" spans="1:2" x14ac:dyDescent="0.2">
      <c r="A712" s="57"/>
      <c r="B712" s="57"/>
    </row>
    <row r="713" spans="1:2" x14ac:dyDescent="0.2">
      <c r="A713" s="57"/>
      <c r="B713" s="57"/>
    </row>
    <row r="714" spans="1:2" x14ac:dyDescent="0.2">
      <c r="A714" s="57"/>
      <c r="B714" s="57"/>
    </row>
    <row r="715" spans="1:2" x14ac:dyDescent="0.2">
      <c r="A715" s="57"/>
      <c r="B715" s="57"/>
    </row>
    <row r="716" spans="1:2" x14ac:dyDescent="0.2">
      <c r="A716" s="57"/>
      <c r="B716" s="57"/>
    </row>
    <row r="717" spans="1:2" x14ac:dyDescent="0.2">
      <c r="A717" s="57"/>
      <c r="B717" s="57"/>
    </row>
    <row r="718" spans="1:2" x14ac:dyDescent="0.2">
      <c r="A718" s="57"/>
      <c r="B718" s="57"/>
    </row>
    <row r="719" spans="1:2" x14ac:dyDescent="0.2">
      <c r="A719" s="57"/>
      <c r="B719" s="57"/>
    </row>
    <row r="720" spans="1:2" x14ac:dyDescent="0.2">
      <c r="A720" s="57"/>
      <c r="B720" s="57"/>
    </row>
    <row r="721" spans="1:2" x14ac:dyDescent="0.2">
      <c r="A721" s="57"/>
      <c r="B721" s="57"/>
    </row>
    <row r="722" spans="1:2" x14ac:dyDescent="0.2">
      <c r="A722" s="57"/>
      <c r="B722" s="57"/>
    </row>
    <row r="723" spans="1:2" x14ac:dyDescent="0.2">
      <c r="A723" s="57"/>
      <c r="B723" s="57"/>
    </row>
    <row r="724" spans="1:2" x14ac:dyDescent="0.2">
      <c r="A724" s="57"/>
      <c r="B724" s="57"/>
    </row>
    <row r="725" spans="1:2" x14ac:dyDescent="0.2">
      <c r="A725" s="57"/>
      <c r="B725" s="57"/>
    </row>
    <row r="726" spans="1:2" x14ac:dyDescent="0.2">
      <c r="A726" s="57"/>
      <c r="B726" s="57"/>
    </row>
    <row r="727" spans="1:2" x14ac:dyDescent="0.2">
      <c r="A727" s="57"/>
      <c r="B727" s="57"/>
    </row>
    <row r="728" spans="1:2" x14ac:dyDescent="0.2">
      <c r="A728" s="57"/>
      <c r="B728" s="57"/>
    </row>
    <row r="729" spans="1:2" x14ac:dyDescent="0.2">
      <c r="A729" s="57"/>
      <c r="B729" s="57"/>
    </row>
    <row r="730" spans="1:2" x14ac:dyDescent="0.2">
      <c r="A730" s="57"/>
      <c r="B730" s="57"/>
    </row>
    <row r="731" spans="1:2" x14ac:dyDescent="0.2">
      <c r="A731" s="57"/>
      <c r="B731" s="57"/>
    </row>
    <row r="732" spans="1:2" x14ac:dyDescent="0.2">
      <c r="A732" s="57"/>
      <c r="B732" s="57"/>
    </row>
    <row r="733" spans="1:2" x14ac:dyDescent="0.2">
      <c r="A733" s="57"/>
      <c r="B733" s="57"/>
    </row>
    <row r="734" spans="1:2" x14ac:dyDescent="0.2">
      <c r="A734" s="57"/>
      <c r="B734" s="57"/>
    </row>
    <row r="735" spans="1:2" x14ac:dyDescent="0.2">
      <c r="A735" s="57"/>
      <c r="B735" s="57"/>
    </row>
    <row r="736" spans="1:2" x14ac:dyDescent="0.2">
      <c r="A736" s="57"/>
      <c r="B736" s="57"/>
    </row>
    <row r="737" spans="1:2" x14ac:dyDescent="0.2">
      <c r="A737" s="57"/>
      <c r="B737" s="57"/>
    </row>
    <row r="738" spans="1:2" x14ac:dyDescent="0.2">
      <c r="A738" s="57"/>
      <c r="B738" s="57"/>
    </row>
    <row r="739" spans="1:2" x14ac:dyDescent="0.2">
      <c r="A739" s="57"/>
      <c r="B739" s="57"/>
    </row>
    <row r="740" spans="1:2" x14ac:dyDescent="0.2">
      <c r="A740" s="57"/>
      <c r="B740" s="57"/>
    </row>
    <row r="741" spans="1:2" x14ac:dyDescent="0.2">
      <c r="A741" s="57"/>
      <c r="B741" s="57"/>
    </row>
    <row r="742" spans="1:2" x14ac:dyDescent="0.2">
      <c r="A742" s="57"/>
      <c r="B742" s="57"/>
    </row>
    <row r="743" spans="1:2" x14ac:dyDescent="0.2">
      <c r="A743" s="57"/>
      <c r="B743" s="57"/>
    </row>
    <row r="744" spans="1:2" x14ac:dyDescent="0.2">
      <c r="A744" s="57"/>
      <c r="B744" s="57"/>
    </row>
    <row r="745" spans="1:2" x14ac:dyDescent="0.2">
      <c r="A745" s="57"/>
      <c r="B745" s="57"/>
    </row>
    <row r="746" spans="1:2" x14ac:dyDescent="0.2">
      <c r="A746" s="57"/>
      <c r="B746" s="57"/>
    </row>
    <row r="747" spans="1:2" x14ac:dyDescent="0.2">
      <c r="A747" s="57"/>
      <c r="B747" s="57"/>
    </row>
    <row r="748" spans="1:2" x14ac:dyDescent="0.2">
      <c r="A748" s="57"/>
      <c r="B748" s="57"/>
    </row>
    <row r="749" spans="1:2" x14ac:dyDescent="0.2">
      <c r="A749" s="57"/>
      <c r="B749" s="57"/>
    </row>
    <row r="750" spans="1:2" x14ac:dyDescent="0.2">
      <c r="A750" s="57"/>
      <c r="B750" s="57"/>
    </row>
    <row r="751" spans="1:2" x14ac:dyDescent="0.2">
      <c r="A751" s="57"/>
      <c r="B751" s="57"/>
    </row>
    <row r="752" spans="1:2" x14ac:dyDescent="0.2">
      <c r="A752" s="57"/>
      <c r="B752" s="57"/>
    </row>
    <row r="753" spans="1:2" x14ac:dyDescent="0.2">
      <c r="A753" s="57"/>
      <c r="B753" s="57"/>
    </row>
    <row r="754" spans="1:2" x14ac:dyDescent="0.2">
      <c r="A754" s="57"/>
      <c r="B754" s="57"/>
    </row>
    <row r="755" spans="1:2" x14ac:dyDescent="0.2">
      <c r="A755" s="57"/>
      <c r="B755" s="57"/>
    </row>
    <row r="756" spans="1:2" x14ac:dyDescent="0.2">
      <c r="A756" s="57"/>
      <c r="B756" s="57"/>
    </row>
    <row r="757" spans="1:2" x14ac:dyDescent="0.2">
      <c r="A757" s="57"/>
      <c r="B757" s="57"/>
    </row>
    <row r="758" spans="1:2" x14ac:dyDescent="0.2">
      <c r="A758" s="57"/>
      <c r="B758" s="57"/>
    </row>
    <row r="759" spans="1:2" x14ac:dyDescent="0.2">
      <c r="A759" s="57"/>
      <c r="B759" s="57"/>
    </row>
    <row r="760" spans="1:2" x14ac:dyDescent="0.2">
      <c r="A760" s="57"/>
      <c r="B760" s="57"/>
    </row>
    <row r="761" spans="1:2" x14ac:dyDescent="0.2">
      <c r="A761" s="57"/>
      <c r="B761" s="57"/>
    </row>
    <row r="762" spans="1:2" x14ac:dyDescent="0.2">
      <c r="A762" s="57"/>
      <c r="B762" s="57"/>
    </row>
    <row r="763" spans="1:2" x14ac:dyDescent="0.2">
      <c r="A763" s="57"/>
      <c r="B763" s="57"/>
    </row>
    <row r="764" spans="1:2" x14ac:dyDescent="0.2">
      <c r="A764" s="57"/>
      <c r="B764" s="57"/>
    </row>
    <row r="765" spans="1:2" x14ac:dyDescent="0.2">
      <c r="A765" s="57"/>
      <c r="B765" s="57"/>
    </row>
    <row r="766" spans="1:2" x14ac:dyDescent="0.2">
      <c r="A766" s="57"/>
      <c r="B766" s="57"/>
    </row>
    <row r="767" spans="1:2" x14ac:dyDescent="0.2">
      <c r="A767" s="57"/>
      <c r="B767" s="57"/>
    </row>
    <row r="768" spans="1:2" x14ac:dyDescent="0.2">
      <c r="A768" s="57"/>
      <c r="B768" s="57"/>
    </row>
    <row r="769" spans="1:2" x14ac:dyDescent="0.2">
      <c r="A769" s="57"/>
      <c r="B769" s="57"/>
    </row>
    <row r="770" spans="1:2" x14ac:dyDescent="0.2">
      <c r="A770" s="57"/>
      <c r="B770" s="57"/>
    </row>
    <row r="771" spans="1:2" x14ac:dyDescent="0.2">
      <c r="A771" s="57"/>
      <c r="B771" s="57"/>
    </row>
    <row r="772" spans="1:2" x14ac:dyDescent="0.2">
      <c r="A772" s="57"/>
      <c r="B772" s="57"/>
    </row>
    <row r="773" spans="1:2" x14ac:dyDescent="0.2">
      <c r="A773" s="57"/>
      <c r="B773" s="57"/>
    </row>
    <row r="774" spans="1:2" x14ac:dyDescent="0.2">
      <c r="A774" s="57"/>
      <c r="B774" s="57"/>
    </row>
    <row r="775" spans="1:2" x14ac:dyDescent="0.2">
      <c r="A775" s="57"/>
      <c r="B775" s="57"/>
    </row>
    <row r="776" spans="1:2" x14ac:dyDescent="0.2">
      <c r="A776" s="57"/>
      <c r="B776" s="57"/>
    </row>
    <row r="777" spans="1:2" x14ac:dyDescent="0.2">
      <c r="A777" s="57"/>
      <c r="B777" s="57"/>
    </row>
    <row r="778" spans="1:2" x14ac:dyDescent="0.2">
      <c r="A778" s="57"/>
      <c r="B778" s="57"/>
    </row>
    <row r="779" spans="1:2" x14ac:dyDescent="0.2">
      <c r="A779" s="57"/>
      <c r="B779" s="57"/>
    </row>
    <row r="780" spans="1:2" x14ac:dyDescent="0.2">
      <c r="A780" s="57"/>
      <c r="B780" s="57"/>
    </row>
    <row r="781" spans="1:2" x14ac:dyDescent="0.2">
      <c r="A781" s="57"/>
      <c r="B781" s="57"/>
    </row>
    <row r="782" spans="1:2" x14ac:dyDescent="0.2">
      <c r="A782" s="57"/>
      <c r="B782" s="57"/>
    </row>
    <row r="783" spans="1:2" x14ac:dyDescent="0.2">
      <c r="A783" s="57"/>
      <c r="B783" s="57"/>
    </row>
    <row r="784" spans="1:2" x14ac:dyDescent="0.2">
      <c r="A784" s="57"/>
      <c r="B784" s="57"/>
    </row>
    <row r="785" spans="1:2" x14ac:dyDescent="0.2">
      <c r="A785" s="57"/>
      <c r="B785" s="57"/>
    </row>
    <row r="786" spans="1:2" x14ac:dyDescent="0.2">
      <c r="A786" s="57"/>
      <c r="B786" s="57"/>
    </row>
    <row r="787" spans="1:2" x14ac:dyDescent="0.2">
      <c r="A787" s="57"/>
      <c r="B787" s="57"/>
    </row>
    <row r="788" spans="1:2" x14ac:dyDescent="0.2">
      <c r="A788" s="57"/>
      <c r="B788" s="57"/>
    </row>
    <row r="789" spans="1:2" x14ac:dyDescent="0.2">
      <c r="A789" s="57"/>
      <c r="B789" s="57"/>
    </row>
    <row r="790" spans="1:2" x14ac:dyDescent="0.2">
      <c r="A790" s="57"/>
      <c r="B790" s="57"/>
    </row>
    <row r="791" spans="1:2" x14ac:dyDescent="0.2">
      <c r="A791" s="57"/>
      <c r="B791" s="57"/>
    </row>
    <row r="792" spans="1:2" x14ac:dyDescent="0.2">
      <c r="A792" s="57"/>
      <c r="B792" s="57"/>
    </row>
    <row r="793" spans="1:2" x14ac:dyDescent="0.2">
      <c r="A793" s="57"/>
      <c r="B793" s="57"/>
    </row>
    <row r="794" spans="1:2" x14ac:dyDescent="0.2">
      <c r="A794" s="57"/>
      <c r="B794" s="57"/>
    </row>
    <row r="795" spans="1:2" x14ac:dyDescent="0.2">
      <c r="A795" s="57"/>
      <c r="B795" s="57"/>
    </row>
    <row r="796" spans="1:2" x14ac:dyDescent="0.2">
      <c r="A796" s="57"/>
      <c r="B796" s="57"/>
    </row>
    <row r="797" spans="1:2" x14ac:dyDescent="0.2">
      <c r="A797" s="57"/>
      <c r="B797" s="57"/>
    </row>
    <row r="798" spans="1:2" x14ac:dyDescent="0.2">
      <c r="A798" s="57"/>
      <c r="B798" s="57"/>
    </row>
    <row r="799" spans="1:2" x14ac:dyDescent="0.2">
      <c r="A799" s="57"/>
      <c r="B799" s="57"/>
    </row>
    <row r="800" spans="1:2" x14ac:dyDescent="0.2">
      <c r="A800" s="57"/>
      <c r="B800" s="57"/>
    </row>
    <row r="801" spans="1:2" x14ac:dyDescent="0.2">
      <c r="A801" s="57"/>
      <c r="B801" s="57"/>
    </row>
    <row r="802" spans="1:2" x14ac:dyDescent="0.2">
      <c r="A802" s="57"/>
      <c r="B802" s="57"/>
    </row>
    <row r="803" spans="1:2" x14ac:dyDescent="0.2">
      <c r="A803" s="57"/>
      <c r="B803" s="57"/>
    </row>
    <row r="804" spans="1:2" x14ac:dyDescent="0.2">
      <c r="A804" s="57"/>
      <c r="B804" s="57"/>
    </row>
    <row r="805" spans="1:2" x14ac:dyDescent="0.2">
      <c r="A805" s="57"/>
      <c r="B805" s="57"/>
    </row>
    <row r="806" spans="1:2" x14ac:dyDescent="0.2">
      <c r="A806" s="57"/>
      <c r="B806" s="57"/>
    </row>
    <row r="807" spans="1:2" x14ac:dyDescent="0.2">
      <c r="A807" s="57"/>
      <c r="B807" s="57"/>
    </row>
    <row r="808" spans="1:2" x14ac:dyDescent="0.2">
      <c r="A808" s="57"/>
      <c r="B808" s="57"/>
    </row>
    <row r="809" spans="1:2" x14ac:dyDescent="0.2">
      <c r="A809" s="57"/>
      <c r="B809" s="57"/>
    </row>
    <row r="810" spans="1:2" x14ac:dyDescent="0.2">
      <c r="A810" s="57"/>
      <c r="B810" s="57"/>
    </row>
    <row r="811" spans="1:2" x14ac:dyDescent="0.2">
      <c r="A811" s="57"/>
      <c r="B811" s="57"/>
    </row>
    <row r="812" spans="1:2" x14ac:dyDescent="0.2">
      <c r="A812" s="57"/>
      <c r="B812" s="57"/>
    </row>
    <row r="813" spans="1:2" x14ac:dyDescent="0.2">
      <c r="A813" s="57"/>
      <c r="B813" s="57"/>
    </row>
    <row r="814" spans="1:2" x14ac:dyDescent="0.2">
      <c r="A814" s="57"/>
      <c r="B814" s="57"/>
    </row>
    <row r="815" spans="1:2" x14ac:dyDescent="0.2">
      <c r="A815" s="57"/>
      <c r="B815" s="57"/>
    </row>
    <row r="816" spans="1:2" x14ac:dyDescent="0.2">
      <c r="A816" s="57"/>
      <c r="B816" s="57"/>
    </row>
    <row r="817" spans="1:2" x14ac:dyDescent="0.2">
      <c r="A817" s="57"/>
      <c r="B817" s="57"/>
    </row>
    <row r="818" spans="1:2" x14ac:dyDescent="0.2">
      <c r="A818" s="57"/>
      <c r="B818" s="57"/>
    </row>
    <row r="819" spans="1:2" x14ac:dyDescent="0.2">
      <c r="A819" s="57"/>
      <c r="B819" s="57"/>
    </row>
    <row r="820" spans="1:2" x14ac:dyDescent="0.2">
      <c r="A820" s="57"/>
      <c r="B820" s="57"/>
    </row>
    <row r="821" spans="1:2" x14ac:dyDescent="0.2">
      <c r="A821" s="57"/>
      <c r="B821" s="57"/>
    </row>
    <row r="822" spans="1:2" x14ac:dyDescent="0.2">
      <c r="A822" s="57"/>
      <c r="B822" s="57"/>
    </row>
    <row r="823" spans="1:2" x14ac:dyDescent="0.2">
      <c r="A823" s="57"/>
      <c r="B823" s="57"/>
    </row>
    <row r="824" spans="1:2" x14ac:dyDescent="0.2">
      <c r="A824" s="57"/>
      <c r="B824" s="57"/>
    </row>
    <row r="825" spans="1:2" x14ac:dyDescent="0.2">
      <c r="A825" s="57"/>
      <c r="B825" s="57"/>
    </row>
    <row r="826" spans="1:2" x14ac:dyDescent="0.2">
      <c r="A826" s="57"/>
      <c r="B826" s="57"/>
    </row>
    <row r="827" spans="1:2" x14ac:dyDescent="0.2">
      <c r="A827" s="57"/>
      <c r="B827" s="57"/>
    </row>
    <row r="828" spans="1:2" x14ac:dyDescent="0.2">
      <c r="A828" s="57"/>
      <c r="B828" s="57"/>
    </row>
    <row r="829" spans="1:2" x14ac:dyDescent="0.2">
      <c r="A829" s="57"/>
      <c r="B829" s="57"/>
    </row>
    <row r="830" spans="1:2" x14ac:dyDescent="0.2">
      <c r="A830" s="57"/>
      <c r="B830" s="57"/>
    </row>
    <row r="831" spans="1:2" x14ac:dyDescent="0.2">
      <c r="A831" s="57"/>
      <c r="B831" s="57"/>
    </row>
    <row r="832" spans="1:2" x14ac:dyDescent="0.2">
      <c r="A832" s="57"/>
      <c r="B832" s="57"/>
    </row>
    <row r="833" spans="1:2" x14ac:dyDescent="0.2">
      <c r="A833" s="57"/>
      <c r="B833" s="57"/>
    </row>
    <row r="834" spans="1:2" x14ac:dyDescent="0.2">
      <c r="A834" s="57"/>
      <c r="B834" s="57"/>
    </row>
    <row r="835" spans="1:2" x14ac:dyDescent="0.2">
      <c r="A835" s="57"/>
      <c r="B835" s="57"/>
    </row>
    <row r="836" spans="1:2" x14ac:dyDescent="0.2">
      <c r="A836" s="57"/>
      <c r="B836" s="57"/>
    </row>
    <row r="837" spans="1:2" x14ac:dyDescent="0.2">
      <c r="A837" s="57"/>
      <c r="B837" s="57"/>
    </row>
    <row r="838" spans="1:2" x14ac:dyDescent="0.2">
      <c r="A838" s="57"/>
      <c r="B838" s="57"/>
    </row>
    <row r="839" spans="1:2" x14ac:dyDescent="0.2">
      <c r="A839" s="57"/>
      <c r="B839" s="57"/>
    </row>
    <row r="840" spans="1:2" x14ac:dyDescent="0.2">
      <c r="A840" s="57"/>
      <c r="B840" s="57"/>
    </row>
    <row r="841" spans="1:2" x14ac:dyDescent="0.2">
      <c r="A841" s="57"/>
      <c r="B841" s="57"/>
    </row>
    <row r="842" spans="1:2" x14ac:dyDescent="0.2">
      <c r="A842" s="57"/>
      <c r="B842" s="57"/>
    </row>
    <row r="843" spans="1:2" x14ac:dyDescent="0.2">
      <c r="A843" s="57"/>
      <c r="B843" s="57"/>
    </row>
    <row r="844" spans="1:2" x14ac:dyDescent="0.2">
      <c r="A844" s="57"/>
      <c r="B844" s="57"/>
    </row>
    <row r="845" spans="1:2" x14ac:dyDescent="0.2">
      <c r="A845" s="57"/>
      <c r="B845" s="57"/>
    </row>
    <row r="846" spans="1:2" x14ac:dyDescent="0.2">
      <c r="A846" s="57"/>
      <c r="B846" s="57"/>
    </row>
    <row r="847" spans="1:2" x14ac:dyDescent="0.2">
      <c r="A847" s="57"/>
      <c r="B847" s="57"/>
    </row>
    <row r="848" spans="1:2" x14ac:dyDescent="0.2">
      <c r="A848" s="57"/>
      <c r="B848" s="57"/>
    </row>
    <row r="849" spans="1:2" x14ac:dyDescent="0.2">
      <c r="A849" s="57"/>
      <c r="B849" s="57"/>
    </row>
    <row r="850" spans="1:2" x14ac:dyDescent="0.2">
      <c r="A850" s="57"/>
      <c r="B850" s="57"/>
    </row>
    <row r="851" spans="1:2" x14ac:dyDescent="0.2">
      <c r="A851" s="57"/>
      <c r="B851" s="57"/>
    </row>
    <row r="852" spans="1:2" x14ac:dyDescent="0.2">
      <c r="A852" s="57"/>
      <c r="B852" s="57"/>
    </row>
    <row r="853" spans="1:2" x14ac:dyDescent="0.2">
      <c r="A853" s="57"/>
      <c r="B853" s="57"/>
    </row>
    <row r="854" spans="1:2" x14ac:dyDescent="0.2">
      <c r="A854" s="57"/>
      <c r="B854" s="57"/>
    </row>
    <row r="855" spans="1:2" x14ac:dyDescent="0.2">
      <c r="A855" s="57"/>
      <c r="B855" s="57"/>
    </row>
    <row r="856" spans="1:2" x14ac:dyDescent="0.2">
      <c r="A856" s="57"/>
      <c r="B856" s="57"/>
    </row>
    <row r="857" spans="1:2" x14ac:dyDescent="0.2">
      <c r="A857" s="57"/>
      <c r="B857" s="57"/>
    </row>
    <row r="858" spans="1:2" x14ac:dyDescent="0.2">
      <c r="A858" s="57"/>
      <c r="B858" s="57"/>
    </row>
    <row r="859" spans="1:2" x14ac:dyDescent="0.2">
      <c r="A859" s="57"/>
      <c r="B859" s="57"/>
    </row>
    <row r="860" spans="1:2" x14ac:dyDescent="0.2">
      <c r="A860" s="57"/>
      <c r="B860" s="57"/>
    </row>
    <row r="861" spans="1:2" x14ac:dyDescent="0.2">
      <c r="A861" s="57"/>
      <c r="B861" s="57"/>
    </row>
    <row r="862" spans="1:2" x14ac:dyDescent="0.2">
      <c r="A862" s="57"/>
      <c r="B862" s="57"/>
    </row>
    <row r="863" spans="1:2" x14ac:dyDescent="0.2">
      <c r="A863" s="57"/>
      <c r="B863" s="57"/>
    </row>
    <row r="864" spans="1:2" x14ac:dyDescent="0.2">
      <c r="A864" s="57"/>
      <c r="B864" s="57"/>
    </row>
    <row r="865" spans="1:2" x14ac:dyDescent="0.2">
      <c r="A865" s="57"/>
      <c r="B865" s="57"/>
    </row>
    <row r="866" spans="1:2" x14ac:dyDescent="0.2">
      <c r="A866" s="57"/>
      <c r="B866" s="57"/>
    </row>
    <row r="867" spans="1:2" x14ac:dyDescent="0.2">
      <c r="A867" s="57"/>
      <c r="B867" s="57"/>
    </row>
    <row r="868" spans="1:2" x14ac:dyDescent="0.2">
      <c r="A868" s="57"/>
      <c r="B868" s="57"/>
    </row>
    <row r="869" spans="1:2" x14ac:dyDescent="0.2">
      <c r="A869" s="57"/>
      <c r="B869" s="57"/>
    </row>
    <row r="870" spans="1:2" x14ac:dyDescent="0.2">
      <c r="A870" s="57"/>
      <c r="B870" s="57"/>
    </row>
    <row r="871" spans="1:2" x14ac:dyDescent="0.2">
      <c r="A871" s="57"/>
      <c r="B871" s="57"/>
    </row>
    <row r="872" spans="1:2" x14ac:dyDescent="0.2">
      <c r="A872" s="57"/>
      <c r="B872" s="57"/>
    </row>
    <row r="873" spans="1:2" x14ac:dyDescent="0.2">
      <c r="A873" s="57"/>
      <c r="B873" s="57"/>
    </row>
    <row r="874" spans="1:2" x14ac:dyDescent="0.2">
      <c r="A874" s="57"/>
      <c r="B874" s="57"/>
    </row>
    <row r="875" spans="1:2" x14ac:dyDescent="0.2">
      <c r="A875" s="57"/>
      <c r="B875" s="57"/>
    </row>
    <row r="876" spans="1:2" x14ac:dyDescent="0.2">
      <c r="A876" s="57"/>
      <c r="B876" s="57"/>
    </row>
    <row r="877" spans="1:2" x14ac:dyDescent="0.2">
      <c r="A877" s="57"/>
      <c r="B877" s="57"/>
    </row>
    <row r="878" spans="1:2" x14ac:dyDescent="0.2">
      <c r="A878" s="57"/>
      <c r="B878" s="57"/>
    </row>
    <row r="879" spans="1:2" x14ac:dyDescent="0.2">
      <c r="A879" s="57"/>
      <c r="B879" s="57"/>
    </row>
    <row r="880" spans="1:2" x14ac:dyDescent="0.2">
      <c r="A880" s="57"/>
      <c r="B880" s="57"/>
    </row>
    <row r="881" spans="1:2" x14ac:dyDescent="0.2">
      <c r="A881" s="57"/>
      <c r="B881" s="57"/>
    </row>
    <row r="882" spans="1:2" x14ac:dyDescent="0.2">
      <c r="A882" s="57"/>
      <c r="B882" s="57"/>
    </row>
    <row r="883" spans="1:2" x14ac:dyDescent="0.2">
      <c r="A883" s="57"/>
      <c r="B883" s="57"/>
    </row>
    <row r="884" spans="1:2" x14ac:dyDescent="0.2">
      <c r="A884" s="57"/>
      <c r="B884" s="57"/>
    </row>
    <row r="885" spans="1:2" x14ac:dyDescent="0.2">
      <c r="A885" s="57"/>
      <c r="B885" s="57"/>
    </row>
    <row r="886" spans="1:2" x14ac:dyDescent="0.2">
      <c r="A886" s="57"/>
      <c r="B886" s="57"/>
    </row>
    <row r="887" spans="1:2" x14ac:dyDescent="0.2">
      <c r="A887" s="57"/>
      <c r="B887" s="57"/>
    </row>
    <row r="888" spans="1:2" x14ac:dyDescent="0.2">
      <c r="A888" s="57"/>
      <c r="B888" s="57"/>
    </row>
    <row r="889" spans="1:2" x14ac:dyDescent="0.2">
      <c r="A889" s="57"/>
      <c r="B889" s="57"/>
    </row>
    <row r="890" spans="1:2" x14ac:dyDescent="0.2">
      <c r="A890" s="57"/>
      <c r="B890" s="57"/>
    </row>
    <row r="891" spans="1:2" x14ac:dyDescent="0.2">
      <c r="A891" s="57"/>
      <c r="B891" s="57"/>
    </row>
    <row r="892" spans="1:2" x14ac:dyDescent="0.2">
      <c r="A892" s="57"/>
      <c r="B892" s="57"/>
    </row>
    <row r="893" spans="1:2" x14ac:dyDescent="0.2">
      <c r="A893" s="57"/>
      <c r="B893" s="57"/>
    </row>
    <row r="894" spans="1:2" x14ac:dyDescent="0.2">
      <c r="A894" s="57"/>
      <c r="B894" s="57"/>
    </row>
    <row r="895" spans="1:2" x14ac:dyDescent="0.2">
      <c r="A895" s="57"/>
      <c r="B895" s="57"/>
    </row>
    <row r="896" spans="1:2" x14ac:dyDescent="0.2">
      <c r="A896" s="57"/>
      <c r="B896" s="57"/>
    </row>
    <row r="897" spans="1:2" x14ac:dyDescent="0.2">
      <c r="A897" s="57"/>
      <c r="B897" s="57"/>
    </row>
    <row r="898" spans="1:2" x14ac:dyDescent="0.2">
      <c r="A898" s="57"/>
      <c r="B898" s="57"/>
    </row>
    <row r="899" spans="1:2" x14ac:dyDescent="0.2">
      <c r="A899" s="57"/>
      <c r="B899" s="57"/>
    </row>
    <row r="900" spans="1:2" x14ac:dyDescent="0.2">
      <c r="A900" s="57"/>
      <c r="B900" s="57"/>
    </row>
    <row r="901" spans="1:2" x14ac:dyDescent="0.2">
      <c r="A901" s="57"/>
      <c r="B901" s="57"/>
    </row>
    <row r="902" spans="1:2" x14ac:dyDescent="0.2">
      <c r="A902" s="57"/>
      <c r="B902" s="57"/>
    </row>
    <row r="903" spans="1:2" x14ac:dyDescent="0.2">
      <c r="A903" s="57"/>
      <c r="B903" s="57"/>
    </row>
    <row r="904" spans="1:2" x14ac:dyDescent="0.2">
      <c r="A904" s="57"/>
      <c r="B904" s="57"/>
    </row>
    <row r="905" spans="1:2" x14ac:dyDescent="0.2">
      <c r="A905" s="57"/>
      <c r="B905" s="57"/>
    </row>
    <row r="906" spans="1:2" x14ac:dyDescent="0.2">
      <c r="A906" s="57"/>
      <c r="B906" s="57"/>
    </row>
    <row r="907" spans="1:2" x14ac:dyDescent="0.2">
      <c r="A907" s="57"/>
      <c r="B907" s="57"/>
    </row>
    <row r="908" spans="1:2" x14ac:dyDescent="0.2">
      <c r="A908" s="57"/>
      <c r="B908" s="57"/>
    </row>
    <row r="909" spans="1:2" x14ac:dyDescent="0.2">
      <c r="A909" s="57"/>
      <c r="B909" s="57"/>
    </row>
    <row r="910" spans="1:2" x14ac:dyDescent="0.2">
      <c r="A910" s="57"/>
      <c r="B910" s="57"/>
    </row>
    <row r="911" spans="1:2" x14ac:dyDescent="0.2">
      <c r="A911" s="57"/>
      <c r="B911" s="57"/>
    </row>
    <row r="912" spans="1:2" x14ac:dyDescent="0.2">
      <c r="A912" s="57"/>
      <c r="B912" s="57"/>
    </row>
    <row r="913" spans="1:2" x14ac:dyDescent="0.2">
      <c r="A913" s="57"/>
      <c r="B913" s="57"/>
    </row>
    <row r="914" spans="1:2" x14ac:dyDescent="0.2">
      <c r="A914" s="57"/>
      <c r="B914" s="57"/>
    </row>
    <row r="915" spans="1:2" x14ac:dyDescent="0.2">
      <c r="A915" s="57"/>
      <c r="B915" s="57"/>
    </row>
    <row r="916" spans="1:2" x14ac:dyDescent="0.2">
      <c r="A916" s="57"/>
      <c r="B916" s="57"/>
    </row>
    <row r="917" spans="1:2" x14ac:dyDescent="0.2">
      <c r="A917" s="57"/>
      <c r="B917" s="57"/>
    </row>
    <row r="918" spans="1:2" x14ac:dyDescent="0.2">
      <c r="A918" s="57"/>
      <c r="B918" s="57"/>
    </row>
    <row r="919" spans="1:2" x14ac:dyDescent="0.2">
      <c r="A919" s="57"/>
      <c r="B919" s="57"/>
    </row>
    <row r="920" spans="1:2" x14ac:dyDescent="0.2">
      <c r="A920" s="57"/>
      <c r="B920" s="57"/>
    </row>
    <row r="921" spans="1:2" x14ac:dyDescent="0.2">
      <c r="A921" s="57"/>
      <c r="B921" s="57"/>
    </row>
    <row r="922" spans="1:2" x14ac:dyDescent="0.2">
      <c r="A922" s="57"/>
      <c r="B922" s="57"/>
    </row>
    <row r="923" spans="1:2" x14ac:dyDescent="0.2">
      <c r="A923" s="57"/>
      <c r="B923" s="57"/>
    </row>
    <row r="924" spans="1:2" x14ac:dyDescent="0.2">
      <c r="A924" s="57"/>
      <c r="B924" s="57"/>
    </row>
    <row r="925" spans="1:2" x14ac:dyDescent="0.2">
      <c r="A925" s="57"/>
      <c r="B925" s="57"/>
    </row>
    <row r="926" spans="1:2" x14ac:dyDescent="0.2">
      <c r="A926" s="57"/>
      <c r="B926" s="57"/>
    </row>
    <row r="927" spans="1:2" x14ac:dyDescent="0.2">
      <c r="A927" s="57"/>
      <c r="B927" s="57"/>
    </row>
    <row r="928" spans="1:2" x14ac:dyDescent="0.2">
      <c r="A928" s="57"/>
      <c r="B928" s="57"/>
    </row>
    <row r="929" spans="1:2" x14ac:dyDescent="0.2">
      <c r="A929" s="57"/>
      <c r="B929" s="57"/>
    </row>
    <row r="930" spans="1:2" x14ac:dyDescent="0.2">
      <c r="A930" s="57"/>
      <c r="B930" s="57"/>
    </row>
    <row r="931" spans="1:2" x14ac:dyDescent="0.2">
      <c r="A931" s="57"/>
      <c r="B931" s="57"/>
    </row>
    <row r="932" spans="1:2" x14ac:dyDescent="0.2">
      <c r="A932" s="57"/>
      <c r="B932" s="57"/>
    </row>
    <row r="933" spans="1:2" x14ac:dyDescent="0.2">
      <c r="A933" s="57"/>
      <c r="B933" s="57"/>
    </row>
    <row r="934" spans="1:2" x14ac:dyDescent="0.2">
      <c r="A934" s="57"/>
      <c r="B934" s="57"/>
    </row>
    <row r="935" spans="1:2" x14ac:dyDescent="0.2">
      <c r="A935" s="57"/>
      <c r="B935" s="57"/>
    </row>
    <row r="936" spans="1:2" x14ac:dyDescent="0.2">
      <c r="A936" s="57"/>
      <c r="B936" s="57"/>
    </row>
    <row r="937" spans="1:2" x14ac:dyDescent="0.2">
      <c r="A937" s="57"/>
      <c r="B937" s="57"/>
    </row>
    <row r="938" spans="1:2" x14ac:dyDescent="0.2">
      <c r="A938" s="57"/>
      <c r="B938" s="57"/>
    </row>
    <row r="939" spans="1:2" x14ac:dyDescent="0.2">
      <c r="A939" s="57"/>
      <c r="B939" s="57"/>
    </row>
    <row r="940" spans="1:2" x14ac:dyDescent="0.2">
      <c r="A940" s="57"/>
      <c r="B940" s="57"/>
    </row>
    <row r="941" spans="1:2" x14ac:dyDescent="0.2">
      <c r="A941" s="57"/>
      <c r="B941" s="57"/>
    </row>
    <row r="942" spans="1:2" x14ac:dyDescent="0.2">
      <c r="A942" s="57"/>
      <c r="B942" s="57"/>
    </row>
    <row r="943" spans="1:2" x14ac:dyDescent="0.2">
      <c r="A943" s="57"/>
      <c r="B943" s="57"/>
    </row>
    <row r="944" spans="1:2" x14ac:dyDescent="0.2">
      <c r="A944" s="57"/>
      <c r="B944" s="57"/>
    </row>
    <row r="945" spans="1:2" x14ac:dyDescent="0.2">
      <c r="A945" s="57"/>
      <c r="B945" s="57"/>
    </row>
    <row r="946" spans="1:2" x14ac:dyDescent="0.2">
      <c r="A946" s="57"/>
      <c r="B946" s="57"/>
    </row>
    <row r="947" spans="1:2" x14ac:dyDescent="0.2">
      <c r="A947" s="57"/>
      <c r="B947" s="57"/>
    </row>
    <row r="948" spans="1:2" x14ac:dyDescent="0.2">
      <c r="A948" s="57"/>
      <c r="B948" s="57"/>
    </row>
    <row r="949" spans="1:2" x14ac:dyDescent="0.2">
      <c r="A949" s="57"/>
      <c r="B949" s="57"/>
    </row>
    <row r="950" spans="1:2" x14ac:dyDescent="0.2">
      <c r="A950" s="57"/>
      <c r="B950" s="57"/>
    </row>
    <row r="951" spans="1:2" x14ac:dyDescent="0.2">
      <c r="A951" s="57"/>
      <c r="B951" s="57"/>
    </row>
    <row r="952" spans="1:2" x14ac:dyDescent="0.2">
      <c r="A952" s="57"/>
      <c r="B952" s="57"/>
    </row>
    <row r="953" spans="1:2" x14ac:dyDescent="0.2">
      <c r="A953" s="57"/>
      <c r="B953" s="57"/>
    </row>
    <row r="954" spans="1:2" x14ac:dyDescent="0.2">
      <c r="A954" s="57"/>
      <c r="B954" s="57"/>
    </row>
    <row r="955" spans="1:2" x14ac:dyDescent="0.2">
      <c r="A955" s="57"/>
      <c r="B955" s="57"/>
    </row>
    <row r="956" spans="1:2" x14ac:dyDescent="0.2">
      <c r="A956" s="57"/>
      <c r="B956" s="57"/>
    </row>
    <row r="957" spans="1:2" x14ac:dyDescent="0.2">
      <c r="A957" s="57"/>
      <c r="B957" s="57"/>
    </row>
    <row r="958" spans="1:2" x14ac:dyDescent="0.2">
      <c r="A958" s="57"/>
      <c r="B958" s="57"/>
    </row>
    <row r="959" spans="1:2" x14ac:dyDescent="0.2">
      <c r="A959" s="57"/>
      <c r="B959" s="57"/>
    </row>
    <row r="960" spans="1:2" x14ac:dyDescent="0.2">
      <c r="A960" s="57"/>
      <c r="B960" s="57"/>
    </row>
    <row r="961" spans="1:2" x14ac:dyDescent="0.2">
      <c r="A961" s="57"/>
      <c r="B961" s="57"/>
    </row>
    <row r="962" spans="1:2" x14ac:dyDescent="0.2">
      <c r="A962" s="57"/>
      <c r="B962" s="57"/>
    </row>
    <row r="963" spans="1:2" x14ac:dyDescent="0.2">
      <c r="A963" s="57"/>
      <c r="B963" s="57"/>
    </row>
    <row r="964" spans="1:2" x14ac:dyDescent="0.2">
      <c r="A964" s="57"/>
      <c r="B964" s="57"/>
    </row>
    <row r="965" spans="1:2" x14ac:dyDescent="0.2">
      <c r="A965" s="57"/>
      <c r="B965" s="57"/>
    </row>
    <row r="966" spans="1:2" x14ac:dyDescent="0.2">
      <c r="A966" s="57"/>
      <c r="B966" s="57"/>
    </row>
    <row r="967" spans="1:2" x14ac:dyDescent="0.2">
      <c r="A967" s="57"/>
      <c r="B967" s="57"/>
    </row>
    <row r="968" spans="1:2" x14ac:dyDescent="0.2">
      <c r="A968" s="57"/>
      <c r="B968" s="57"/>
    </row>
    <row r="969" spans="1:2" x14ac:dyDescent="0.2">
      <c r="A969" s="57"/>
      <c r="B969" s="57"/>
    </row>
    <row r="970" spans="1:2" x14ac:dyDescent="0.2">
      <c r="A970" s="57"/>
      <c r="B970" s="57"/>
    </row>
    <row r="971" spans="1:2" x14ac:dyDescent="0.2">
      <c r="A971" s="57"/>
      <c r="B971" s="57"/>
    </row>
    <row r="972" spans="1:2" x14ac:dyDescent="0.2">
      <c r="A972" s="57"/>
      <c r="B972" s="57"/>
    </row>
    <row r="973" spans="1:2" x14ac:dyDescent="0.2">
      <c r="A973" s="57"/>
      <c r="B973" s="57"/>
    </row>
    <row r="974" spans="1:2" x14ac:dyDescent="0.2">
      <c r="A974" s="57"/>
      <c r="B974" s="57"/>
    </row>
    <row r="975" spans="1:2" x14ac:dyDescent="0.2">
      <c r="A975" s="57"/>
      <c r="B975" s="57"/>
    </row>
    <row r="976" spans="1:2" x14ac:dyDescent="0.2">
      <c r="A976" s="57"/>
      <c r="B976" s="57"/>
    </row>
    <row r="977" spans="1:2" x14ac:dyDescent="0.2">
      <c r="A977" s="57"/>
      <c r="B977" s="57"/>
    </row>
    <row r="978" spans="1:2" x14ac:dyDescent="0.2">
      <c r="A978" s="57"/>
      <c r="B978" s="57"/>
    </row>
    <row r="979" spans="1:2" x14ac:dyDescent="0.2">
      <c r="A979" s="57"/>
      <c r="B979" s="57"/>
    </row>
    <row r="980" spans="1:2" x14ac:dyDescent="0.2">
      <c r="A980" s="57"/>
      <c r="B980" s="57"/>
    </row>
    <row r="981" spans="1:2" x14ac:dyDescent="0.2">
      <c r="A981" s="57"/>
      <c r="B981" s="57"/>
    </row>
    <row r="982" spans="1:2" x14ac:dyDescent="0.2">
      <c r="A982" s="57"/>
      <c r="B982" s="57"/>
    </row>
    <row r="983" spans="1:2" x14ac:dyDescent="0.2">
      <c r="A983" s="57"/>
      <c r="B983" s="57"/>
    </row>
    <row r="984" spans="1:2" x14ac:dyDescent="0.2">
      <c r="A984" s="57"/>
      <c r="B984" s="57"/>
    </row>
    <row r="985" spans="1:2" x14ac:dyDescent="0.2">
      <c r="A985" s="57"/>
      <c r="B985" s="57"/>
    </row>
    <row r="986" spans="1:2" x14ac:dyDescent="0.2">
      <c r="A986" s="57"/>
      <c r="B986" s="57"/>
    </row>
    <row r="987" spans="1:2" x14ac:dyDescent="0.2">
      <c r="A987" s="57"/>
      <c r="B987" s="57"/>
    </row>
    <row r="988" spans="1:2" x14ac:dyDescent="0.2">
      <c r="A988" s="57"/>
      <c r="B988" s="57"/>
    </row>
    <row r="989" spans="1:2" x14ac:dyDescent="0.2">
      <c r="A989" s="57"/>
      <c r="B989" s="57"/>
    </row>
    <row r="990" spans="1:2" x14ac:dyDescent="0.2">
      <c r="A990" s="57"/>
      <c r="B990" s="57"/>
    </row>
    <row r="991" spans="1:2" x14ac:dyDescent="0.2">
      <c r="A991" s="57"/>
      <c r="B991" s="57"/>
    </row>
    <row r="992" spans="1:2" x14ac:dyDescent="0.2">
      <c r="A992" s="57"/>
      <c r="B992" s="57"/>
    </row>
    <row r="993" spans="1:2" x14ac:dyDescent="0.2">
      <c r="A993" s="57"/>
      <c r="B993" s="57"/>
    </row>
    <row r="994" spans="1:2" x14ac:dyDescent="0.2">
      <c r="A994" s="57"/>
      <c r="B994" s="57"/>
    </row>
    <row r="995" spans="1:2" x14ac:dyDescent="0.2">
      <c r="A995" s="57"/>
      <c r="B995" s="57"/>
    </row>
    <row r="996" spans="1:2" x14ac:dyDescent="0.2">
      <c r="A996" s="57"/>
      <c r="B996" s="57"/>
    </row>
    <row r="997" spans="1:2" x14ac:dyDescent="0.2">
      <c r="A997" s="57"/>
      <c r="B997" s="57"/>
    </row>
    <row r="998" spans="1:2" x14ac:dyDescent="0.2">
      <c r="A998" s="57"/>
      <c r="B998" s="57"/>
    </row>
    <row r="999" spans="1:2" x14ac:dyDescent="0.2">
      <c r="A999" s="57"/>
      <c r="B999" s="57"/>
    </row>
    <row r="1000" spans="1:2" x14ac:dyDescent="0.2">
      <c r="A1000" s="57"/>
      <c r="B1000" s="57"/>
    </row>
    <row r="1001" spans="1:2" x14ac:dyDescent="0.2">
      <c r="A1001" s="57"/>
      <c r="B1001" s="57"/>
    </row>
    <row r="1002" spans="1:2" x14ac:dyDescent="0.2">
      <c r="A1002" s="57"/>
      <c r="B1002" s="57"/>
    </row>
    <row r="1003" spans="1:2" x14ac:dyDescent="0.2">
      <c r="A1003" s="57"/>
      <c r="B1003" s="57"/>
    </row>
    <row r="1004" spans="1:2" x14ac:dyDescent="0.2">
      <c r="A1004" s="57"/>
      <c r="B1004" s="57"/>
    </row>
    <row r="1005" spans="1:2" x14ac:dyDescent="0.2">
      <c r="A1005" s="57"/>
      <c r="B1005" s="57"/>
    </row>
    <row r="1006" spans="1:2" x14ac:dyDescent="0.2">
      <c r="A1006" s="57"/>
      <c r="B1006" s="57"/>
    </row>
    <row r="1007" spans="1:2" x14ac:dyDescent="0.2">
      <c r="A1007" s="57"/>
      <c r="B1007" s="57"/>
    </row>
    <row r="1008" spans="1:2" x14ac:dyDescent="0.2">
      <c r="A1008" s="57"/>
      <c r="B1008" s="57"/>
    </row>
    <row r="1009" spans="1:2" x14ac:dyDescent="0.2">
      <c r="A1009" s="57"/>
      <c r="B1009" s="57"/>
    </row>
    <row r="1010" spans="1:2" x14ac:dyDescent="0.2">
      <c r="A1010" s="57"/>
      <c r="B1010" s="57"/>
    </row>
    <row r="1011" spans="1:2" x14ac:dyDescent="0.2">
      <c r="A1011" s="57"/>
      <c r="B1011" s="57"/>
    </row>
    <row r="1012" spans="1:2" x14ac:dyDescent="0.2">
      <c r="A1012" s="57"/>
      <c r="B1012" s="57"/>
    </row>
    <row r="1013" spans="1:2" x14ac:dyDescent="0.2">
      <c r="A1013" s="57"/>
      <c r="B1013" s="57"/>
    </row>
    <row r="1014" spans="1:2" x14ac:dyDescent="0.2">
      <c r="A1014" s="57"/>
      <c r="B1014" s="57"/>
    </row>
    <row r="1015" spans="1:2" x14ac:dyDescent="0.2">
      <c r="A1015" s="57"/>
      <c r="B1015" s="57"/>
    </row>
    <row r="1016" spans="1:2" x14ac:dyDescent="0.2">
      <c r="A1016" s="57"/>
      <c r="B1016" s="57"/>
    </row>
    <row r="1017" spans="1:2" x14ac:dyDescent="0.2">
      <c r="A1017" s="57"/>
      <c r="B1017" s="57"/>
    </row>
    <row r="1018" spans="1:2" x14ac:dyDescent="0.2">
      <c r="A1018" s="57"/>
      <c r="B1018" s="57"/>
    </row>
    <row r="1019" spans="1:2" x14ac:dyDescent="0.2">
      <c r="A1019" s="57"/>
      <c r="B1019" s="57"/>
    </row>
    <row r="1020" spans="1:2" x14ac:dyDescent="0.2">
      <c r="A1020" s="57"/>
      <c r="B1020" s="57"/>
    </row>
  </sheetData>
  <mergeCells count="1">
    <mergeCell ref="U6:V6"/>
  </mergeCells>
  <conditionalFormatting sqref="H11:J40">
    <cfRule type="expression" dxfId="2" priority="1">
      <formula>ISERROR($H11)</formula>
    </cfRule>
  </conditionalFormatting>
  <dataValidations count="1">
    <dataValidation type="list" allowBlank="1" showInputMessage="1" showErrorMessage="1" sqref="L14">
      <formula1>$L$5:$L$11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20"/>
  <sheetViews>
    <sheetView zoomScale="90" zoomScaleNormal="90" workbookViewId="0">
      <selection activeCell="H7" sqref="H7"/>
    </sheetView>
  </sheetViews>
  <sheetFormatPr defaultColWidth="11.42578125" defaultRowHeight="12.75" x14ac:dyDescent="0.2"/>
  <cols>
    <col min="1" max="2" width="16.140625" style="3" customWidth="1"/>
    <col min="3" max="3" width="17.5703125" style="3" customWidth="1"/>
    <col min="4" max="5" width="5.7109375" style="1" customWidth="1"/>
    <col min="6" max="6" width="7.5703125" style="3" bestFit="1" customWidth="1"/>
    <col min="7" max="7" width="18.42578125" style="1" customWidth="1"/>
    <col min="8" max="10" width="11.42578125" style="1"/>
    <col min="11" max="11" width="5.85546875" style="1" customWidth="1"/>
    <col min="12" max="12" width="17.85546875" style="1" bestFit="1" customWidth="1"/>
    <col min="13" max="14" width="14.140625" style="1" bestFit="1" customWidth="1"/>
    <col min="15" max="18" width="11.42578125" style="1"/>
    <col min="19" max="19" width="5.5703125" style="1" customWidth="1"/>
    <col min="20" max="20" width="5.140625" style="1" customWidth="1"/>
    <col min="21" max="21" width="15.42578125" style="37" customWidth="1"/>
    <col min="22" max="22" width="13.140625" style="1" bestFit="1" customWidth="1"/>
    <col min="23" max="16384" width="11.42578125" style="1"/>
  </cols>
  <sheetData>
    <row r="2" spans="1:22" ht="33" customHeight="1" x14ac:dyDescent="0.2">
      <c r="A2" s="56" t="s">
        <v>39</v>
      </c>
      <c r="B2" s="58" t="s">
        <v>97</v>
      </c>
      <c r="C2" s="58" t="s">
        <v>101</v>
      </c>
      <c r="E2" s="55" t="str">
        <f>"Fréquence des "&amp;tblDataApple[[#Headers],[Taux de rentabilité APPLE]]</f>
        <v>Fréquence des Taux de rentabilité APPLE</v>
      </c>
      <c r="G2" s="26" t="s">
        <v>26</v>
      </c>
      <c r="H2" s="31">
        <f>V18</f>
        <v>-8.7961340875830782E-2</v>
      </c>
      <c r="L2" s="34" t="s">
        <v>10</v>
      </c>
      <c r="M2" s="35">
        <f>COUNT(tblDataApple[Taux de rentabilité APPLE])</f>
        <v>51</v>
      </c>
      <c r="O2" s="36"/>
    </row>
    <row r="3" spans="1:22" x14ac:dyDescent="0.2">
      <c r="A3" s="57">
        <v>41974</v>
      </c>
      <c r="B3" s="20">
        <v>115</v>
      </c>
      <c r="C3" s="61"/>
      <c r="G3" s="26" t="s">
        <v>27</v>
      </c>
      <c r="H3" s="31">
        <f>V13</f>
        <v>7.240634841132601E-2</v>
      </c>
      <c r="I3" s="25"/>
      <c r="J3" s="25"/>
      <c r="M3" s="3"/>
    </row>
    <row r="4" spans="1:22" x14ac:dyDescent="0.2">
      <c r="A4" s="57">
        <v>41981</v>
      </c>
      <c r="B4" s="20">
        <v>109.730003</v>
      </c>
      <c r="C4" s="61">
        <f>(tblDataApple[[#This Row],[Côte]]-B3)/B3</f>
        <v>-4.5826060869565248E-2</v>
      </c>
      <c r="G4" s="19" t="s">
        <v>23</v>
      </c>
      <c r="H4" s="18">
        <f>H3-H2</f>
        <v>0.16036768928715678</v>
      </c>
      <c r="I4" s="25"/>
      <c r="J4" s="25"/>
      <c r="L4" s="39" t="s">
        <v>13</v>
      </c>
      <c r="M4" s="40" t="s">
        <v>12</v>
      </c>
    </row>
    <row r="5" spans="1:22" x14ac:dyDescent="0.2">
      <c r="A5" s="57">
        <v>41988</v>
      </c>
      <c r="B5" s="20">
        <v>111.779999</v>
      </c>
      <c r="C5" s="61">
        <f>(tblDataApple[[#This Row],[Côte]]-B4)/B4</f>
        <v>1.8682183030652132E-2</v>
      </c>
      <c r="G5" s="19" t="s">
        <v>24</v>
      </c>
      <c r="H5" s="18">
        <f>H4/M14</f>
        <v>2.2909669898165255E-2</v>
      </c>
      <c r="I5" s="25"/>
      <c r="J5" s="25"/>
      <c r="L5" s="41" t="s">
        <v>14</v>
      </c>
      <c r="M5" s="42">
        <f>INT(SQRT(M2)+1)</f>
        <v>8</v>
      </c>
    </row>
    <row r="6" spans="1:22" x14ac:dyDescent="0.2">
      <c r="A6" s="57">
        <v>41995</v>
      </c>
      <c r="B6" s="20">
        <v>113.989998</v>
      </c>
      <c r="C6" s="61">
        <f>(tblDataApple[[#This Row],[Côte]]-B5)/B5</f>
        <v>1.977096993890648E-2</v>
      </c>
      <c r="G6" s="27" t="s">
        <v>38</v>
      </c>
      <c r="H6" s="35">
        <f>COUNTIFS(tblDataApple[Taux de rentabilité APPLE],"&lt;="&amp;H3,tblDataApple[Taux de rentabilité APPLE],"&gt;="&amp;H2)</f>
        <v>51</v>
      </c>
      <c r="I6" s="25"/>
      <c r="J6" s="25"/>
      <c r="L6" s="43" t="s">
        <v>11</v>
      </c>
      <c r="M6" s="44">
        <f>INT(1 + LOG(M2,2))</f>
        <v>6</v>
      </c>
      <c r="U6" s="45" t="s">
        <v>31</v>
      </c>
      <c r="V6" s="45"/>
    </row>
    <row r="7" spans="1:22" x14ac:dyDescent="0.2">
      <c r="A7" s="57">
        <v>42002</v>
      </c>
      <c r="B7" s="20">
        <v>109.33000199999999</v>
      </c>
      <c r="C7" s="61">
        <f>(tblDataApple[[#This Row],[Côte]]-B6)/B6</f>
        <v>-4.088074464217472E-2</v>
      </c>
      <c r="G7" s="65" t="s">
        <v>41</v>
      </c>
      <c r="H7" s="62">
        <f>_xlfn.STDEV.S(tblDataApple[Taux de rentabilité APPLE])</f>
        <v>3.6207110054456787E-2</v>
      </c>
      <c r="L7" s="43" t="s">
        <v>15</v>
      </c>
      <c r="M7" s="44">
        <f>INT(2*M2^(1/3))</f>
        <v>7</v>
      </c>
      <c r="N7" s="3"/>
    </row>
    <row r="8" spans="1:22" x14ac:dyDescent="0.2">
      <c r="A8" s="57">
        <v>42009</v>
      </c>
      <c r="B8" s="20">
        <v>112.010002</v>
      </c>
      <c r="C8" s="61">
        <f>(tblDataApple[[#This Row],[Côte]]-B7)/B7</f>
        <v>2.451294201933708E-2</v>
      </c>
      <c r="G8" s="65" t="s">
        <v>96</v>
      </c>
      <c r="H8" s="62">
        <f>AVERAGE(tblDataApple[Taux de rentabilité APPLE])</f>
        <v>1.1157136292397195E-3</v>
      </c>
      <c r="L8" s="43" t="s">
        <v>16</v>
      </c>
      <c r="M8" s="44">
        <f>INT(1+LOG(M2,2)+LOG(1+P8/R8,2))</f>
        <v>6</v>
      </c>
      <c r="N8" s="46" t="s">
        <v>25</v>
      </c>
      <c r="O8" s="47" t="s">
        <v>19</v>
      </c>
      <c r="P8" s="48">
        <f>ABS(SKEW(tblDataApple[Taux de rentabilité APPLE]))</f>
        <v>4.3474822068726625E-2</v>
      </c>
      <c r="Q8" s="47" t="s">
        <v>18</v>
      </c>
      <c r="R8" s="48">
        <f>SQRT((6*(M2-2))/((M2+1)*(M2+3)))</f>
        <v>0.32357511446471698</v>
      </c>
      <c r="U8" s="37" t="s">
        <v>30</v>
      </c>
      <c r="V8" s="1">
        <f>COUNT(tblDataApple[Taux de rentabilité APPLE])</f>
        <v>51</v>
      </c>
    </row>
    <row r="9" spans="1:22" x14ac:dyDescent="0.2">
      <c r="A9" s="57">
        <v>42016</v>
      </c>
      <c r="B9" s="20">
        <v>105.989998</v>
      </c>
      <c r="C9" s="61">
        <f>(tblDataApple[[#This Row],[Côte]]-B8)/B8</f>
        <v>-5.3745236072757149E-2</v>
      </c>
      <c r="L9" s="43" t="s">
        <v>17</v>
      </c>
      <c r="M9" s="44">
        <f>INT(3.5*_xlfn.STDEV.S(tblDataApple[Taux de rentabilité APPLE])/(M2^(1/3)))</f>
        <v>0</v>
      </c>
      <c r="N9" s="3"/>
      <c r="U9" s="37" t="s">
        <v>3</v>
      </c>
      <c r="V9" s="15">
        <f>V15-V17</f>
        <v>3.8635908924676818E-2</v>
      </c>
    </row>
    <row r="10" spans="1:22" x14ac:dyDescent="0.2">
      <c r="A10" s="57">
        <v>42024</v>
      </c>
      <c r="B10" s="20">
        <v>112.980003</v>
      </c>
      <c r="C10" s="61">
        <f>(tblDataApple[[#This Row],[Côte]]-B9)/B9</f>
        <v>6.5949666307192456E-2</v>
      </c>
      <c r="F10" s="21" t="s">
        <v>8</v>
      </c>
      <c r="G10" s="22" t="s">
        <v>9</v>
      </c>
      <c r="H10" s="22" t="s">
        <v>35</v>
      </c>
      <c r="I10" s="22" t="s">
        <v>36</v>
      </c>
      <c r="J10" s="12" t="s">
        <v>37</v>
      </c>
      <c r="L10" s="49" t="s">
        <v>21</v>
      </c>
      <c r="M10" s="44">
        <f>INT(2*P10/(M2^(1/3)))</f>
        <v>0</v>
      </c>
      <c r="N10" s="46" t="s">
        <v>25</v>
      </c>
      <c r="O10" s="47" t="s">
        <v>20</v>
      </c>
      <c r="P10" s="48">
        <f>_xlfn.QUARTILE.INC(tblDataApple[Taux de rentabilité APPLE],3) - _xlfn.QUARTILE.INC(tblDataApple[Taux de rentabilité APPLE],1)</f>
        <v>3.8635908924676818E-2</v>
      </c>
      <c r="U10" s="37" t="s">
        <v>6</v>
      </c>
      <c r="V10" s="50">
        <v>1.5</v>
      </c>
    </row>
    <row r="11" spans="1:22" x14ac:dyDescent="0.2">
      <c r="A11" s="57">
        <v>42030</v>
      </c>
      <c r="B11" s="20">
        <v>117.160004</v>
      </c>
      <c r="C11" s="61">
        <f>(tblDataApple[[#This Row],[Côte]]-B10)/B10</f>
        <v>3.6997706576446139E-2</v>
      </c>
      <c r="F11" s="8">
        <v>1</v>
      </c>
      <c r="G11" s="59">
        <f>H2</f>
        <v>-8.7961340875830782E-2</v>
      </c>
      <c r="H11" s="9">
        <f t="array" ref="H11:H40">FREQUENCY(tblDataApple[Taux de rentabilité APPLE],G11:G40)</f>
        <v>1</v>
      </c>
      <c r="I11" s="13">
        <f>IF(F11&lt;&gt;"",H11/$H$6,"")</f>
        <v>1.9607843137254902E-2</v>
      </c>
      <c r="J11" s="28">
        <f>I11</f>
        <v>1.9607843137254902E-2</v>
      </c>
      <c r="L11" s="51" t="s">
        <v>34</v>
      </c>
      <c r="M11" s="52">
        <v>15</v>
      </c>
    </row>
    <row r="12" spans="1:22" x14ac:dyDescent="0.2">
      <c r="A12" s="57">
        <v>42037</v>
      </c>
      <c r="B12" s="20">
        <v>118.93</v>
      </c>
      <c r="C12" s="61">
        <f>(tblDataApple[[#This Row],[Côte]]-B11)/B11</f>
        <v>1.5107510580146498E-2</v>
      </c>
      <c r="F12" s="8">
        <f>IFERROR(IF(F11-2&lt;$M$14,F11+1,""),"")</f>
        <v>2</v>
      </c>
      <c r="G12" s="59">
        <f>IFERROR(IF(G11+$H$5&gt;$H$3+$H$5,"",G11+$H$5),"")</f>
        <v>-6.5051670977665524E-2</v>
      </c>
      <c r="H12" s="9">
        <v>1</v>
      </c>
      <c r="I12" s="13">
        <f>IF(F12&lt;&gt;"",H12/$H$6,"")</f>
        <v>1.9607843137254902E-2</v>
      </c>
      <c r="J12" s="28">
        <f>IF(I12&lt;&gt;"",I12+J11,"")</f>
        <v>3.9215686274509803E-2</v>
      </c>
      <c r="U12" s="4" t="s">
        <v>29</v>
      </c>
      <c r="V12" s="16">
        <f>COUNTIF(tblDataApple[Taux de rentabilité APPLE],"&gt;"&amp;V13)</f>
        <v>0</v>
      </c>
    </row>
    <row r="13" spans="1:22" x14ac:dyDescent="0.2">
      <c r="A13" s="57">
        <v>42044</v>
      </c>
      <c r="B13" s="20">
        <v>127.08000199999999</v>
      </c>
      <c r="C13" s="61">
        <f>(tblDataApple[[#This Row],[Côte]]-B12)/B12</f>
        <v>6.8527722189523133E-2</v>
      </c>
      <c r="F13" s="8">
        <f t="shared" ref="F13:F40" si="0">IFERROR(IF(F12-2&lt;$M$14,F12+1,""),"")</f>
        <v>3</v>
      </c>
      <c r="G13" s="59">
        <f>IFERROR(IF(G12+$H$5&gt;$H$3+$H$5,"",G12+$H$5),"")</f>
        <v>-4.2142001079500266E-2</v>
      </c>
      <c r="H13" s="9">
        <v>3</v>
      </c>
      <c r="I13" s="13">
        <f>IF(F13&lt;&gt;"",H13/$H$6,"")</f>
        <v>5.8823529411764705E-2</v>
      </c>
      <c r="J13" s="28">
        <f>IF(I13&lt;&gt;"",I13+J12,"")</f>
        <v>9.8039215686274508E-2</v>
      </c>
      <c r="L13" s="34" t="s">
        <v>22</v>
      </c>
      <c r="M13" s="12" t="s">
        <v>12</v>
      </c>
      <c r="U13" s="4" t="s">
        <v>27</v>
      </c>
      <c r="V13" s="17">
        <f>V14</f>
        <v>7.240634841132601E-2</v>
      </c>
    </row>
    <row r="14" spans="1:22" x14ac:dyDescent="0.2">
      <c r="A14" s="57">
        <v>42052</v>
      </c>
      <c r="B14" s="20">
        <v>129.5</v>
      </c>
      <c r="C14" s="61">
        <f>(tblDataApple[[#This Row],[Côte]]-B13)/B13</f>
        <v>1.9043106404735555E-2</v>
      </c>
      <c r="F14" s="8">
        <f t="shared" si="0"/>
        <v>4</v>
      </c>
      <c r="G14" s="59">
        <f>IFERROR(IF(G13+$H$5&gt;$H$3+$H$5,"",G13+$H$5),"")</f>
        <v>-1.9232331181335011E-2</v>
      </c>
      <c r="H14" s="9">
        <v>8</v>
      </c>
      <c r="I14" s="13">
        <f>IF(F14&lt;&gt;"",H14/$H$6,"")</f>
        <v>0.15686274509803921</v>
      </c>
      <c r="J14" s="28">
        <f>IF(I14&lt;&gt;"",I14+J13,"")</f>
        <v>0.25490196078431371</v>
      </c>
      <c r="L14" s="50" t="s">
        <v>15</v>
      </c>
      <c r="M14" s="53">
        <f>VLOOKUP($L$14,$L$5:$M$11,2,FALSE)</f>
        <v>7</v>
      </c>
      <c r="U14" s="4" t="s">
        <v>1</v>
      </c>
      <c r="V14" s="17">
        <f>MAX(tblDataApple[Taux de rentabilité APPLE])</f>
        <v>7.240634841132601E-2</v>
      </c>
    </row>
    <row r="15" spans="1:22" x14ac:dyDescent="0.2">
      <c r="A15" s="57">
        <v>42058</v>
      </c>
      <c r="B15" s="20">
        <v>128.46000699999999</v>
      </c>
      <c r="C15" s="61">
        <f>(tblDataApple[[#This Row],[Côte]]-B14)/B14</f>
        <v>-8.0308339768340523E-3</v>
      </c>
      <c r="F15" s="8">
        <f t="shared" si="0"/>
        <v>5</v>
      </c>
      <c r="G15" s="59">
        <f>IFERROR(IF(G14+$H$5&gt;$H$3+$H$5,"",G14+$H$5),"")</f>
        <v>3.6773387168302432E-3</v>
      </c>
      <c r="H15" s="9">
        <v>15</v>
      </c>
      <c r="I15" s="13">
        <f>IF(F15&lt;&gt;"",H15/$H$6,"")</f>
        <v>0.29411764705882354</v>
      </c>
      <c r="J15" s="28">
        <f t="shared" ref="J15:J40" si="1">IF(I15&lt;&gt;"",I15+J14,"")</f>
        <v>0.5490196078431373</v>
      </c>
      <c r="U15" s="4" t="s">
        <v>2</v>
      </c>
      <c r="V15" s="17">
        <f>_xlfn.QUARTILE.INC(tblDataApple[Taux de rentabilité APPLE],3)</f>
        <v>1.8866994074459083E-2</v>
      </c>
    </row>
    <row r="16" spans="1:22" x14ac:dyDescent="0.2">
      <c r="A16" s="57">
        <v>42065</v>
      </c>
      <c r="B16" s="20">
        <v>126.599998</v>
      </c>
      <c r="C16" s="61">
        <f>(tblDataApple[[#This Row],[Côte]]-B15)/B15</f>
        <v>-1.4479284591662766E-2</v>
      </c>
      <c r="F16" s="8">
        <f t="shared" si="0"/>
        <v>6</v>
      </c>
      <c r="G16" s="59">
        <f>IFERROR(IF(G15+$H$5&gt;$H$3+$H$5,"",G15+$H$5),"")</f>
        <v>2.6587008614995498E-2</v>
      </c>
      <c r="H16" s="9">
        <v>13</v>
      </c>
      <c r="I16" s="13">
        <f>IF(F16&lt;&gt;"",H16/$H$6,"")</f>
        <v>0.25490196078431371</v>
      </c>
      <c r="J16" s="28">
        <f t="shared" si="1"/>
        <v>0.80392156862745101</v>
      </c>
      <c r="U16" s="4" t="s">
        <v>7</v>
      </c>
      <c r="V16" s="17">
        <f>_xlfn.QUARTILE.INC(tblDataApple[Taux de rentabilité APPLE],2)</f>
        <v>-2.4457435897435355E-3</v>
      </c>
    </row>
    <row r="17" spans="1:22" x14ac:dyDescent="0.2">
      <c r="A17" s="57">
        <v>42072</v>
      </c>
      <c r="B17" s="20">
        <v>123.589996</v>
      </c>
      <c r="C17" s="61">
        <f>(tblDataApple[[#This Row],[Côte]]-B16)/B16</f>
        <v>-2.3775687579394748E-2</v>
      </c>
      <c r="F17" s="8">
        <f t="shared" si="0"/>
        <v>7</v>
      </c>
      <c r="G17" s="59">
        <f>IFERROR(IF(G16+$H$5&gt;$H$3+$H$5,"",G16+$H$5),"")</f>
        <v>4.9496678513160752E-2</v>
      </c>
      <c r="H17" s="9">
        <v>4</v>
      </c>
      <c r="I17" s="13">
        <f>IF(F17&lt;&gt;"",H17/$H$6,"")</f>
        <v>7.8431372549019607E-2</v>
      </c>
      <c r="J17" s="28">
        <f t="shared" si="1"/>
        <v>0.88235294117647056</v>
      </c>
      <c r="U17" s="4" t="s">
        <v>4</v>
      </c>
      <c r="V17" s="17">
        <f>_xlfn.QUARTILE.INC(tblDataApple[Taux de rentabilité APPLE],1)</f>
        <v>-1.9768914850217735E-2</v>
      </c>
    </row>
    <row r="18" spans="1:22" x14ac:dyDescent="0.2">
      <c r="A18" s="57">
        <v>42079</v>
      </c>
      <c r="B18" s="20">
        <v>125.900002</v>
      </c>
      <c r="C18" s="61">
        <f>(tblDataApple[[#This Row],[Côte]]-B17)/B17</f>
        <v>1.8690881744182607E-2</v>
      </c>
      <c r="F18" s="8">
        <f t="shared" si="0"/>
        <v>8</v>
      </c>
      <c r="G18" s="59">
        <f>IFERROR(IF(G17+$H$5&gt;$H$3+$H$5,"",G17+$H$5),"")</f>
        <v>7.240634841132601E-2</v>
      </c>
      <c r="H18" s="9">
        <v>6</v>
      </c>
      <c r="I18" s="13">
        <f>IF(F18&lt;&gt;"",H18/$H$6,"")</f>
        <v>0.11764705882352941</v>
      </c>
      <c r="J18" s="28">
        <f t="shared" si="1"/>
        <v>1</v>
      </c>
      <c r="U18" s="4" t="s">
        <v>0</v>
      </c>
      <c r="V18" s="17">
        <f>MIN(tblDataApple[Taux de rentabilité APPLE])</f>
        <v>-8.7961340875830782E-2</v>
      </c>
    </row>
    <row r="19" spans="1:22" x14ac:dyDescent="0.2">
      <c r="A19" s="57">
        <v>42086</v>
      </c>
      <c r="B19" s="20">
        <v>123.25</v>
      </c>
      <c r="C19" s="61">
        <f>(tblDataApple[[#This Row],[Côte]]-B18)/B18</f>
        <v>-2.1048466702963203E-2</v>
      </c>
      <c r="F19" s="8">
        <f t="shared" si="0"/>
        <v>9</v>
      </c>
      <c r="G19" s="59">
        <f>IFERROR(IF(G18+$H$5&gt;$H$3+$H$5,"",G18+$H$5),"")</f>
        <v>9.5316018309491268E-2</v>
      </c>
      <c r="H19" s="9">
        <v>0</v>
      </c>
      <c r="I19" s="13">
        <f>IF(F19&lt;&gt;"",H19/$H$6,"")</f>
        <v>0</v>
      </c>
      <c r="J19" s="28">
        <f t="shared" si="1"/>
        <v>1</v>
      </c>
      <c r="U19" s="4" t="s">
        <v>26</v>
      </c>
      <c r="V19" s="17">
        <f>V18</f>
        <v>-8.7961340875830782E-2</v>
      </c>
    </row>
    <row r="20" spans="1:22" x14ac:dyDescent="0.2">
      <c r="A20" s="57">
        <v>42093</v>
      </c>
      <c r="B20" s="20">
        <v>125.32</v>
      </c>
      <c r="C20" s="61">
        <f>(tblDataApple[[#This Row],[Côte]]-B19)/B19</f>
        <v>1.6795131845841731E-2</v>
      </c>
      <c r="F20" s="8" t="str">
        <f t="shared" si="0"/>
        <v/>
      </c>
      <c r="G20" s="59" t="str">
        <f>IFERROR(IF(G19+$H$5&gt;$H$3+$H$5,"",G19+$H$5),"")</f>
        <v/>
      </c>
      <c r="H20" s="9">
        <v>0</v>
      </c>
      <c r="I20" s="13" t="str">
        <f>IF(F20&lt;&gt;"",H20/$H$6,"")</f>
        <v/>
      </c>
      <c r="J20" s="28" t="str">
        <f t="shared" si="1"/>
        <v/>
      </c>
      <c r="U20" s="4" t="s">
        <v>28</v>
      </c>
      <c r="V20" s="16">
        <f>COUNTIF(tblDataApple[Taux de rentabilité APPLE],"&lt;"&amp;V19)</f>
        <v>0</v>
      </c>
    </row>
    <row r="21" spans="1:22" x14ac:dyDescent="0.2">
      <c r="A21" s="57">
        <v>42100</v>
      </c>
      <c r="B21" s="20">
        <v>127.099998</v>
      </c>
      <c r="C21" s="61">
        <f>(tblDataApple[[#This Row],[Côte]]-B20)/B20</f>
        <v>1.4203622725821947E-2</v>
      </c>
      <c r="F21" s="8" t="str">
        <f t="shared" si="0"/>
        <v/>
      </c>
      <c r="G21" s="59" t="str">
        <f>IFERROR(IF(G20+$H$5&gt;$H$3+$H$5,"",G20+$H$5),"")</f>
        <v/>
      </c>
      <c r="H21" s="9" t="e">
        <v>#N/A</v>
      </c>
      <c r="I21" s="13" t="str">
        <f>IF(F21&lt;&gt;"",H21/$H$6,"")</f>
        <v/>
      </c>
      <c r="J21" s="28" t="str">
        <f t="shared" si="1"/>
        <v/>
      </c>
    </row>
    <row r="22" spans="1:22" x14ac:dyDescent="0.2">
      <c r="A22" s="57">
        <v>42107</v>
      </c>
      <c r="B22" s="20">
        <v>124.75</v>
      </c>
      <c r="C22" s="61">
        <f>(tblDataApple[[#This Row],[Côte]]-B21)/B21</f>
        <v>-1.848936299747227E-2</v>
      </c>
      <c r="F22" s="8" t="str">
        <f t="shared" si="0"/>
        <v/>
      </c>
      <c r="G22" s="59" t="str">
        <f>IFERROR(IF(G21+$H$5&gt;$H$3+$H$5,"",G21+$H$5),"")</f>
        <v/>
      </c>
      <c r="H22" s="9" t="e">
        <v>#N/A</v>
      </c>
      <c r="I22" s="13" t="str">
        <f>IF(F22&lt;&gt;"",H22/$H$6,"")</f>
        <v/>
      </c>
      <c r="J22" s="28" t="str">
        <f t="shared" si="1"/>
        <v/>
      </c>
      <c r="U22" s="54" t="s">
        <v>5</v>
      </c>
      <c r="V22" s="15">
        <f>AVERAGE(tblDataApple[Taux de rentabilité APPLE])</f>
        <v>1.1157136292397195E-3</v>
      </c>
    </row>
    <row r="23" spans="1:22" x14ac:dyDescent="0.2">
      <c r="A23" s="57">
        <v>42114</v>
      </c>
      <c r="B23" s="20">
        <v>130.279999</v>
      </c>
      <c r="C23" s="61">
        <f>(tblDataApple[[#This Row],[Côte]]-B22)/B22</f>
        <v>4.4328649298597221E-2</v>
      </c>
      <c r="F23" s="8" t="str">
        <f t="shared" si="0"/>
        <v/>
      </c>
      <c r="G23" s="59" t="str">
        <f>IFERROR(IF(G22+$H$5&gt;$H$3+$H$5,"",G22+$H$5),"")</f>
        <v/>
      </c>
      <c r="H23" s="9" t="e">
        <v>#N/A</v>
      </c>
      <c r="I23" s="13" t="str">
        <f>IF(F23&lt;&gt;"",H23/$H$6,"")</f>
        <v/>
      </c>
      <c r="J23" s="28" t="str">
        <f t="shared" si="1"/>
        <v/>
      </c>
      <c r="U23" s="54" t="s">
        <v>32</v>
      </c>
      <c r="V23" s="15" t="e">
        <f>_xlfn.MODE.SNGL(tblDataApple[Taux de rentabilité APPLE])</f>
        <v>#N/A</v>
      </c>
    </row>
    <row r="24" spans="1:22" x14ac:dyDescent="0.2">
      <c r="A24" s="57">
        <v>42121</v>
      </c>
      <c r="B24" s="20">
        <v>128.949997</v>
      </c>
      <c r="C24" s="61">
        <f>(tblDataApple[[#This Row],[Côte]]-B23)/B23</f>
        <v>-1.0208796516800766E-2</v>
      </c>
      <c r="F24" s="8" t="str">
        <f t="shared" si="0"/>
        <v/>
      </c>
      <c r="G24" s="59" t="str">
        <f>IFERROR(IF(G23+$H$5&gt;$H$3+$H$5,"",G23+$H$5),"")</f>
        <v/>
      </c>
      <c r="H24" s="9" t="e">
        <v>#N/A</v>
      </c>
      <c r="I24" s="13" t="str">
        <f>IF(F24&lt;&gt;"",H24/$H$6,"")</f>
        <v/>
      </c>
      <c r="J24" s="28" t="str">
        <f t="shared" si="1"/>
        <v/>
      </c>
      <c r="U24" s="38" t="s">
        <v>33</v>
      </c>
      <c r="V24" s="1">
        <f>COUNTIF(tblDataApple[Taux de rentabilité APPLE],V23)</f>
        <v>0</v>
      </c>
    </row>
    <row r="25" spans="1:22" x14ac:dyDescent="0.2">
      <c r="A25" s="57">
        <v>42128</v>
      </c>
      <c r="B25" s="20">
        <v>127.620003</v>
      </c>
      <c r="C25" s="61">
        <f>(tblDataApple[[#This Row],[Côte]]-B24)/B24</f>
        <v>-1.0314028933246112E-2</v>
      </c>
      <c r="F25" s="8" t="str">
        <f t="shared" si="0"/>
        <v/>
      </c>
      <c r="G25" s="59" t="str">
        <f>IFERROR(IF(G24+$H$5&gt;$H$3+$H$5,"",G24+$H$5),"")</f>
        <v/>
      </c>
      <c r="H25" s="9" t="e">
        <v>#N/A</v>
      </c>
      <c r="I25" s="13" t="str">
        <f>IF(F25&lt;&gt;"",H25/$H$6,"")</f>
        <v/>
      </c>
      <c r="J25" s="28" t="str">
        <f t="shared" si="1"/>
        <v/>
      </c>
      <c r="V25" s="14"/>
    </row>
    <row r="26" spans="1:22" x14ac:dyDescent="0.2">
      <c r="A26" s="57">
        <v>42135</v>
      </c>
      <c r="B26" s="20">
        <v>128.770004</v>
      </c>
      <c r="C26" s="61">
        <f>(tblDataApple[[#This Row],[Côte]]-B25)/B25</f>
        <v>9.0111344065710707E-3</v>
      </c>
      <c r="F26" s="8" t="str">
        <f t="shared" si="0"/>
        <v/>
      </c>
      <c r="G26" s="59" t="str">
        <f>IFERROR(IF(G25+$H$5&gt;$H$3+$H$5,"",G25+$H$5),"")</f>
        <v/>
      </c>
      <c r="H26" s="9" t="e">
        <v>#N/A</v>
      </c>
      <c r="I26" s="13" t="str">
        <f>IF(F26&lt;&gt;"",H26/$H$6,"")</f>
        <v/>
      </c>
      <c r="J26" s="28" t="str">
        <f t="shared" si="1"/>
        <v/>
      </c>
      <c r="V26" s="14"/>
    </row>
    <row r="27" spans="1:22" x14ac:dyDescent="0.2">
      <c r="A27" s="57">
        <v>42142</v>
      </c>
      <c r="B27" s="20">
        <v>132.53999300000001</v>
      </c>
      <c r="C27" s="61">
        <f>(tblDataApple[[#This Row],[Côte]]-B26)/B26</f>
        <v>2.927691918065025E-2</v>
      </c>
      <c r="F27" s="8" t="str">
        <f t="shared" si="0"/>
        <v/>
      </c>
      <c r="G27" s="59" t="str">
        <f>IFERROR(IF(G26+$H$5&gt;$H$3+$H$5,"",G26+$H$5),"")</f>
        <v/>
      </c>
      <c r="H27" s="9" t="e">
        <v>#N/A</v>
      </c>
      <c r="I27" s="13" t="str">
        <f>IF(F27&lt;&gt;"",H27/$H$6,"")</f>
        <v/>
      </c>
      <c r="J27" s="28" t="str">
        <f t="shared" si="1"/>
        <v/>
      </c>
      <c r="V27" s="14"/>
    </row>
    <row r="28" spans="1:22" x14ac:dyDescent="0.2">
      <c r="A28" s="57">
        <v>42150</v>
      </c>
      <c r="B28" s="20">
        <v>130.279999</v>
      </c>
      <c r="C28" s="61">
        <f>(tblDataApple[[#This Row],[Côte]]-B27)/B27</f>
        <v>-1.7051411795381683E-2</v>
      </c>
      <c r="F28" s="8" t="str">
        <f t="shared" si="0"/>
        <v/>
      </c>
      <c r="G28" s="59" t="str">
        <f>IFERROR(IF(G27+$H$5&gt;$H$3+$H$5,"",G27+$H$5),"")</f>
        <v/>
      </c>
      <c r="H28" s="9" t="e">
        <v>#N/A</v>
      </c>
      <c r="I28" s="13" t="str">
        <f>IF(F28&lt;&gt;"",H28/$H$6,"")</f>
        <v/>
      </c>
      <c r="J28" s="28" t="str">
        <f t="shared" si="1"/>
        <v/>
      </c>
      <c r="V28" s="14"/>
    </row>
    <row r="29" spans="1:22" x14ac:dyDescent="0.2">
      <c r="A29" s="57">
        <v>42156</v>
      </c>
      <c r="B29" s="20">
        <v>128.64999399999999</v>
      </c>
      <c r="C29" s="61">
        <f>(tblDataApple[[#This Row],[Côte]]-B28)/B28</f>
        <v>-1.2511552137792165E-2</v>
      </c>
      <c r="F29" s="8" t="str">
        <f t="shared" si="0"/>
        <v/>
      </c>
      <c r="G29" s="59" t="str">
        <f>IFERROR(IF(G28+$H$5&gt;$H$3+$H$5,"",G28+$H$5),"")</f>
        <v/>
      </c>
      <c r="H29" s="9" t="e">
        <v>#N/A</v>
      </c>
      <c r="I29" s="13" t="str">
        <f>IF(F29&lt;&gt;"",H29/$H$6,"")</f>
        <v/>
      </c>
      <c r="J29" s="28" t="str">
        <f t="shared" si="1"/>
        <v/>
      </c>
      <c r="V29" s="14"/>
    </row>
    <row r="30" spans="1:22" x14ac:dyDescent="0.2">
      <c r="A30" s="57">
        <v>42163</v>
      </c>
      <c r="B30" s="20">
        <v>127.16999800000001</v>
      </c>
      <c r="C30" s="61">
        <f>(tblDataApple[[#This Row],[Côte]]-B29)/B29</f>
        <v>-1.1504050283904294E-2</v>
      </c>
      <c r="F30" s="8" t="str">
        <f t="shared" si="0"/>
        <v/>
      </c>
      <c r="G30" s="59" t="str">
        <f>IFERROR(IF(G29+$H$5&gt;$H$3+$H$5,"",G29+$H$5),"")</f>
        <v/>
      </c>
      <c r="H30" s="9" t="e">
        <v>#N/A</v>
      </c>
      <c r="I30" s="13" t="str">
        <f>IF(F30&lt;&gt;"",H30/$H$6,"")</f>
        <v/>
      </c>
      <c r="J30" s="28" t="str">
        <f t="shared" si="1"/>
        <v/>
      </c>
      <c r="V30" s="14"/>
    </row>
    <row r="31" spans="1:22" x14ac:dyDescent="0.2">
      <c r="A31" s="57">
        <v>42170</v>
      </c>
      <c r="B31" s="20">
        <v>126.599998</v>
      </c>
      <c r="C31" s="61">
        <f>(tblDataApple[[#This Row],[Côte]]-B30)/B30</f>
        <v>-4.482189266056349E-3</v>
      </c>
      <c r="F31" s="8" t="str">
        <f t="shared" si="0"/>
        <v/>
      </c>
      <c r="G31" s="59" t="str">
        <f>IFERROR(IF(G30+$H$5&gt;$H$3+$H$5,"",G30+$H$5),"")</f>
        <v/>
      </c>
      <c r="H31" s="9" t="e">
        <v>#N/A</v>
      </c>
      <c r="I31" s="13" t="str">
        <f>IF(F31&lt;&gt;"",H31/$H$6,"")</f>
        <v/>
      </c>
      <c r="J31" s="28" t="str">
        <f t="shared" si="1"/>
        <v/>
      </c>
      <c r="V31" s="14"/>
    </row>
    <row r="32" spans="1:22" x14ac:dyDescent="0.2">
      <c r="A32" s="57">
        <v>42177</v>
      </c>
      <c r="B32" s="20">
        <v>126.75</v>
      </c>
      <c r="C32" s="61">
        <f>(tblDataApple[[#This Row],[Côte]]-B31)/B31</f>
        <v>1.1848499397290721E-3</v>
      </c>
      <c r="F32" s="8" t="str">
        <f t="shared" si="0"/>
        <v/>
      </c>
      <c r="G32" s="59" t="str">
        <f>IFERROR(IF(G31+$H$5&gt;$H$3+$H$5,"",G31+$H$5),"")</f>
        <v/>
      </c>
      <c r="H32" s="9" t="e">
        <v>#N/A</v>
      </c>
      <c r="I32" s="13" t="str">
        <f>IF(F32&lt;&gt;"",H32/$H$6,"")</f>
        <v/>
      </c>
      <c r="J32" s="28" t="str">
        <f t="shared" si="1"/>
        <v/>
      </c>
      <c r="V32" s="14"/>
    </row>
    <row r="33" spans="1:22" x14ac:dyDescent="0.2">
      <c r="A33" s="57">
        <v>42184</v>
      </c>
      <c r="B33" s="20">
        <v>126.44000200000001</v>
      </c>
      <c r="C33" s="61">
        <f>(tblDataApple[[#This Row],[Côte]]-B32)/B32</f>
        <v>-2.4457435897435355E-3</v>
      </c>
      <c r="F33" s="8" t="str">
        <f t="shared" si="0"/>
        <v/>
      </c>
      <c r="G33" s="59" t="str">
        <f>IFERROR(IF(G32+$H$5&gt;$H$3+$H$5,"",G32+$H$5),"")</f>
        <v/>
      </c>
      <c r="H33" s="9" t="e">
        <v>#N/A</v>
      </c>
      <c r="I33" s="13" t="str">
        <f>IF(F33&lt;&gt;"",H33/$H$6,"")</f>
        <v/>
      </c>
      <c r="J33" s="28" t="str">
        <f t="shared" si="1"/>
        <v/>
      </c>
      <c r="V33" s="14"/>
    </row>
    <row r="34" spans="1:22" x14ac:dyDescent="0.2">
      <c r="A34" s="57">
        <v>42191</v>
      </c>
      <c r="B34" s="20">
        <v>123.279999</v>
      </c>
      <c r="C34" s="61">
        <f>(tblDataApple[[#This Row],[Côte]]-B33)/B33</f>
        <v>-2.4992114441757151E-2</v>
      </c>
      <c r="F34" s="8" t="str">
        <f t="shared" si="0"/>
        <v/>
      </c>
      <c r="G34" s="59" t="str">
        <f>IFERROR(IF(G33+$H$5&gt;$H$3+$H$5,"",G33+$H$5),"")</f>
        <v/>
      </c>
      <c r="H34" s="9" t="e">
        <v>#N/A</v>
      </c>
      <c r="I34" s="13" t="str">
        <f>IF(F34&lt;&gt;"",H34/$H$6,"")</f>
        <v/>
      </c>
      <c r="J34" s="28" t="str">
        <f t="shared" si="1"/>
        <v/>
      </c>
    </row>
    <row r="35" spans="1:22" x14ac:dyDescent="0.2">
      <c r="A35" s="57">
        <v>42198</v>
      </c>
      <c r="B35" s="20">
        <v>129.61999499999999</v>
      </c>
      <c r="C35" s="61">
        <f>(tblDataApple[[#This Row],[Côte]]-B34)/B34</f>
        <v>5.1427612357459421E-2</v>
      </c>
      <c r="F35" s="8" t="str">
        <f t="shared" si="0"/>
        <v/>
      </c>
      <c r="G35" s="59" t="str">
        <f>IFERROR(IF(G34+$H$5&gt;$H$3+$H$5,"",G34+$H$5),"")</f>
        <v/>
      </c>
      <c r="H35" s="9" t="e">
        <v>#N/A</v>
      </c>
      <c r="I35" s="13" t="str">
        <f>IF(F35&lt;&gt;"",H35/$H$6,"")</f>
        <v/>
      </c>
      <c r="J35" s="28" t="str">
        <f t="shared" si="1"/>
        <v/>
      </c>
    </row>
    <row r="36" spans="1:22" x14ac:dyDescent="0.2">
      <c r="A36" s="57">
        <v>42205</v>
      </c>
      <c r="B36" s="20">
        <v>124.5</v>
      </c>
      <c r="C36" s="61">
        <f>(tblDataApple[[#This Row],[Côte]]-B35)/B35</f>
        <v>-3.9500040097980173E-2</v>
      </c>
      <c r="F36" s="8" t="str">
        <f t="shared" si="0"/>
        <v/>
      </c>
      <c r="G36" s="59" t="str">
        <f>IFERROR(IF(G35+$H$5&gt;$H$3+$H$5,"",G35+$H$5),"")</f>
        <v/>
      </c>
      <c r="H36" s="9" t="e">
        <v>#N/A</v>
      </c>
      <c r="I36" s="13" t="str">
        <f>IF(F36&lt;&gt;"",H36/$H$6,"")</f>
        <v/>
      </c>
      <c r="J36" s="28" t="str">
        <f t="shared" si="1"/>
        <v/>
      </c>
    </row>
    <row r="37" spans="1:22" x14ac:dyDescent="0.2">
      <c r="A37" s="57">
        <v>42212</v>
      </c>
      <c r="B37" s="20">
        <v>121.300003</v>
      </c>
      <c r="C37" s="61">
        <f>(tblDataApple[[#This Row],[Côte]]-B36)/B36</f>
        <v>-2.5702787148594346E-2</v>
      </c>
      <c r="F37" s="8" t="str">
        <f t="shared" si="0"/>
        <v/>
      </c>
      <c r="G37" s="59" t="str">
        <f>IFERROR(IF(G36+$H$5&gt;$H$3+$H$5,"",G36+$H$5),"")</f>
        <v/>
      </c>
      <c r="H37" s="9" t="e">
        <v>#N/A</v>
      </c>
      <c r="I37" s="13" t="str">
        <f>IF(F37&lt;&gt;"",H37/$H$6,"")</f>
        <v/>
      </c>
      <c r="J37" s="28" t="str">
        <f t="shared" si="1"/>
        <v/>
      </c>
    </row>
    <row r="38" spans="1:22" x14ac:dyDescent="0.2">
      <c r="A38" s="57">
        <v>42219</v>
      </c>
      <c r="B38" s="20">
        <v>115.519997</v>
      </c>
      <c r="C38" s="61">
        <f>(tblDataApple[[#This Row],[Côte]]-B37)/B37</f>
        <v>-4.7650501706912568E-2</v>
      </c>
      <c r="F38" s="8" t="str">
        <f t="shared" si="0"/>
        <v/>
      </c>
      <c r="G38" s="59" t="str">
        <f>IFERROR(IF(G37+$H$5&gt;$H$3+$H$5,"",G37+$H$5),"")</f>
        <v/>
      </c>
      <c r="H38" s="9" t="e">
        <v>#N/A</v>
      </c>
      <c r="I38" s="13" t="str">
        <f>IF(F38&lt;&gt;"",H38/$H$6,"")</f>
        <v/>
      </c>
      <c r="J38" s="28" t="str">
        <f t="shared" si="1"/>
        <v/>
      </c>
    </row>
    <row r="39" spans="1:22" x14ac:dyDescent="0.2">
      <c r="A39" s="57">
        <v>42226</v>
      </c>
      <c r="B39" s="20">
        <v>115.959999</v>
      </c>
      <c r="C39" s="61">
        <f>(tblDataApple[[#This Row],[Côte]]-B38)/B38</f>
        <v>3.8088816778621684E-3</v>
      </c>
      <c r="F39" s="8" t="str">
        <f t="shared" si="0"/>
        <v/>
      </c>
      <c r="G39" s="59" t="str">
        <f>IFERROR(IF(G38+$H$5&gt;$H$3+$H$5,"",G38+$H$5),"")</f>
        <v/>
      </c>
      <c r="H39" s="9" t="e">
        <v>#N/A</v>
      </c>
      <c r="I39" s="13" t="str">
        <f>IF(F39&lt;&gt;"",H39/$H$6,"")</f>
        <v/>
      </c>
      <c r="J39" s="28" t="str">
        <f t="shared" si="1"/>
        <v/>
      </c>
    </row>
    <row r="40" spans="1:22" x14ac:dyDescent="0.2">
      <c r="A40" s="57">
        <v>42233</v>
      </c>
      <c r="B40" s="20">
        <v>105.760002</v>
      </c>
      <c r="C40" s="61">
        <f>(tblDataApple[[#This Row],[Côte]]-B39)/B39</f>
        <v>-8.7961340875830782E-2</v>
      </c>
      <c r="F40" s="10" t="str">
        <f t="shared" si="0"/>
        <v/>
      </c>
      <c r="G40" s="60" t="str">
        <f>IFERROR(IF(G39+$H$5&gt;$H$3+$H$5,"",G39+$H$5),"")</f>
        <v/>
      </c>
      <c r="H40" s="11" t="e">
        <v>#N/A</v>
      </c>
      <c r="I40" s="29" t="str">
        <f>IF(F40&lt;&gt;"",H40/$H$6,"")</f>
        <v/>
      </c>
      <c r="J40" s="30" t="str">
        <f t="shared" si="1"/>
        <v/>
      </c>
    </row>
    <row r="41" spans="1:22" x14ac:dyDescent="0.2">
      <c r="A41" s="57">
        <v>42240</v>
      </c>
      <c r="B41" s="20">
        <v>113.290001</v>
      </c>
      <c r="C41" s="61">
        <f>(tblDataApple[[#This Row],[Côte]]-B40)/B40</f>
        <v>7.1198930196691976E-2</v>
      </c>
    </row>
    <row r="42" spans="1:22" x14ac:dyDescent="0.2">
      <c r="A42" s="57">
        <v>42247</v>
      </c>
      <c r="B42" s="20">
        <v>109.269997</v>
      </c>
      <c r="C42" s="61">
        <f>(tblDataApple[[#This Row],[Côte]]-B41)/B41</f>
        <v>-3.548419070099576E-2</v>
      </c>
    </row>
    <row r="43" spans="1:22" x14ac:dyDescent="0.2">
      <c r="A43" s="57">
        <v>42255</v>
      </c>
      <c r="B43" s="20">
        <v>114.209999</v>
      </c>
      <c r="C43" s="61">
        <f>(tblDataApple[[#This Row],[Côte]]-B42)/B42</f>
        <v>4.5209134580647903E-2</v>
      </c>
    </row>
    <row r="44" spans="1:22" x14ac:dyDescent="0.2">
      <c r="A44" s="57">
        <v>42261</v>
      </c>
      <c r="B44" s="20">
        <v>113.449997</v>
      </c>
      <c r="C44" s="61">
        <f>(tblDataApple[[#This Row],[Côte]]-B43)/B43</f>
        <v>-6.6544261155277668E-3</v>
      </c>
    </row>
    <row r="45" spans="1:22" x14ac:dyDescent="0.2">
      <c r="A45" s="57">
        <v>42268</v>
      </c>
      <c r="B45" s="20">
        <v>114.709999</v>
      </c>
      <c r="C45" s="61">
        <f>(tblDataApple[[#This Row],[Côte]]-B44)/B44</f>
        <v>1.1106232113871278E-2</v>
      </c>
    </row>
    <row r="46" spans="1:22" x14ac:dyDescent="0.2">
      <c r="A46" s="57">
        <v>42275</v>
      </c>
      <c r="B46" s="20">
        <v>110.379997</v>
      </c>
      <c r="C46" s="61">
        <f>(tblDataApple[[#This Row],[Côte]]-B45)/B45</f>
        <v>-3.7747380679516815E-2</v>
      </c>
    </row>
    <row r="47" spans="1:22" x14ac:dyDescent="0.2">
      <c r="A47" s="57">
        <v>42282</v>
      </c>
      <c r="B47" s="20">
        <v>112.120003</v>
      </c>
      <c r="C47" s="61">
        <f>(tblDataApple[[#This Row],[Côte]]-B46)/B46</f>
        <v>1.5763780098671264E-2</v>
      </c>
    </row>
    <row r="48" spans="1:22" x14ac:dyDescent="0.2">
      <c r="A48" s="57">
        <v>42289</v>
      </c>
      <c r="B48" s="20">
        <v>111.040001</v>
      </c>
      <c r="C48" s="61">
        <f>(tblDataApple[[#This Row],[Côte]]-B47)/B47</f>
        <v>-9.6325541482548231E-3</v>
      </c>
    </row>
    <row r="49" spans="1:3" x14ac:dyDescent="0.2">
      <c r="A49" s="57">
        <v>42296</v>
      </c>
      <c r="B49" s="20">
        <v>119.08000199999999</v>
      </c>
      <c r="C49" s="61">
        <f>(tblDataApple[[#This Row],[Côte]]-B48)/B48</f>
        <v>7.240634841132601E-2</v>
      </c>
    </row>
    <row r="50" spans="1:3" x14ac:dyDescent="0.2">
      <c r="A50" s="57">
        <v>42303</v>
      </c>
      <c r="B50" s="20">
        <v>119.5</v>
      </c>
      <c r="C50" s="61">
        <f>(tblDataApple[[#This Row],[Côte]]-B49)/B49</f>
        <v>3.5270237902751025E-3</v>
      </c>
    </row>
    <row r="51" spans="1:3" x14ac:dyDescent="0.2">
      <c r="A51" s="57">
        <v>42310</v>
      </c>
      <c r="B51" s="20">
        <v>121.05999799999999</v>
      </c>
      <c r="C51" s="61">
        <f>(tblDataApple[[#This Row],[Côte]]-B50)/B50</f>
        <v>1.30543765690376E-2</v>
      </c>
    </row>
    <row r="52" spans="1:3" x14ac:dyDescent="0.2">
      <c r="A52" s="57">
        <v>42317</v>
      </c>
      <c r="B52" s="20">
        <v>112.339996</v>
      </c>
      <c r="C52" s="61">
        <f>(tblDataApple[[#This Row],[Côte]]-B51)/B51</f>
        <v>-7.2030415860406621E-2</v>
      </c>
    </row>
    <row r="53" spans="1:3" x14ac:dyDescent="0.2">
      <c r="A53" s="57">
        <v>42324</v>
      </c>
      <c r="B53" s="20">
        <v>119.300003</v>
      </c>
      <c r="C53" s="61">
        <f>(tblDataApple[[#This Row],[Côte]]-B52)/B52</f>
        <v>6.1954844648561359E-2</v>
      </c>
    </row>
    <row r="54" spans="1:3" ht="15" x14ac:dyDescent="0.2">
      <c r="A54" s="64">
        <v>42331</v>
      </c>
      <c r="B54" s="20">
        <v>117.80999799999999</v>
      </c>
      <c r="C54" s="61">
        <f>(tblDataApple[[#This Row],[Côte]]-B53)/B53</f>
        <v>-1.248956380998591E-2</v>
      </c>
    </row>
    <row r="55" spans="1:3" ht="15" x14ac:dyDescent="0.2">
      <c r="A55" s="64"/>
      <c r="B55" s="20"/>
      <c r="C55" s="20"/>
    </row>
    <row r="56" spans="1:3" x14ac:dyDescent="0.2">
      <c r="A56" s="57"/>
      <c r="B56" s="57"/>
    </row>
    <row r="57" spans="1:3" x14ac:dyDescent="0.2">
      <c r="A57" s="57"/>
      <c r="B57" s="57"/>
    </row>
    <row r="58" spans="1:3" x14ac:dyDescent="0.2">
      <c r="A58" s="57"/>
      <c r="B58" s="57"/>
    </row>
    <row r="59" spans="1:3" x14ac:dyDescent="0.2">
      <c r="A59" s="57"/>
      <c r="B59" s="57"/>
    </row>
    <row r="60" spans="1:3" x14ac:dyDescent="0.2">
      <c r="A60" s="57"/>
      <c r="B60" s="57"/>
    </row>
    <row r="61" spans="1:3" x14ac:dyDescent="0.2">
      <c r="A61" s="57"/>
      <c r="B61" s="57"/>
    </row>
    <row r="62" spans="1:3" x14ac:dyDescent="0.2">
      <c r="A62" s="57"/>
      <c r="B62" s="57"/>
    </row>
    <row r="63" spans="1:3" x14ac:dyDescent="0.2">
      <c r="A63" s="57"/>
      <c r="B63" s="57"/>
    </row>
    <row r="64" spans="1:3" x14ac:dyDescent="0.2">
      <c r="A64" s="57"/>
      <c r="B64" s="57"/>
    </row>
    <row r="65" spans="1:2" x14ac:dyDescent="0.2">
      <c r="A65" s="57"/>
      <c r="B65" s="57"/>
    </row>
    <row r="66" spans="1:2" x14ac:dyDescent="0.2">
      <c r="A66" s="57"/>
      <c r="B66" s="57"/>
    </row>
    <row r="67" spans="1:2" x14ac:dyDescent="0.2">
      <c r="A67" s="57"/>
      <c r="B67" s="57"/>
    </row>
    <row r="68" spans="1:2" x14ac:dyDescent="0.2">
      <c r="A68" s="57"/>
      <c r="B68" s="57"/>
    </row>
    <row r="69" spans="1:2" x14ac:dyDescent="0.2">
      <c r="A69" s="57"/>
      <c r="B69" s="57"/>
    </row>
    <row r="70" spans="1:2" x14ac:dyDescent="0.2">
      <c r="A70" s="57"/>
      <c r="B70" s="57"/>
    </row>
    <row r="71" spans="1:2" x14ac:dyDescent="0.2">
      <c r="A71" s="57"/>
      <c r="B71" s="57"/>
    </row>
    <row r="72" spans="1:2" x14ac:dyDescent="0.2">
      <c r="A72" s="57"/>
      <c r="B72" s="57"/>
    </row>
    <row r="73" spans="1:2" x14ac:dyDescent="0.2">
      <c r="A73" s="57"/>
      <c r="B73" s="57"/>
    </row>
    <row r="74" spans="1:2" x14ac:dyDescent="0.2">
      <c r="A74" s="57"/>
      <c r="B74" s="57"/>
    </row>
    <row r="75" spans="1:2" x14ac:dyDescent="0.2">
      <c r="A75" s="57"/>
      <c r="B75" s="57"/>
    </row>
    <row r="76" spans="1:2" x14ac:dyDescent="0.2">
      <c r="A76" s="57"/>
      <c r="B76" s="57"/>
    </row>
    <row r="77" spans="1:2" x14ac:dyDescent="0.2">
      <c r="A77" s="57"/>
      <c r="B77" s="57"/>
    </row>
    <row r="78" spans="1:2" x14ac:dyDescent="0.2">
      <c r="A78" s="57"/>
      <c r="B78" s="57"/>
    </row>
    <row r="79" spans="1:2" x14ac:dyDescent="0.2">
      <c r="A79" s="57"/>
      <c r="B79" s="57"/>
    </row>
    <row r="80" spans="1:2" x14ac:dyDescent="0.2">
      <c r="A80" s="57"/>
      <c r="B80" s="57"/>
    </row>
    <row r="81" spans="1:2" x14ac:dyDescent="0.2">
      <c r="A81" s="57"/>
      <c r="B81" s="57"/>
    </row>
    <row r="82" spans="1:2" x14ac:dyDescent="0.2">
      <c r="A82" s="57"/>
      <c r="B82" s="57"/>
    </row>
    <row r="83" spans="1:2" x14ac:dyDescent="0.2">
      <c r="A83" s="57"/>
      <c r="B83" s="57"/>
    </row>
    <row r="84" spans="1:2" x14ac:dyDescent="0.2">
      <c r="A84" s="57"/>
      <c r="B84" s="57"/>
    </row>
    <row r="85" spans="1:2" x14ac:dyDescent="0.2">
      <c r="A85" s="57"/>
      <c r="B85" s="57"/>
    </row>
    <row r="86" spans="1:2" x14ac:dyDescent="0.2">
      <c r="A86" s="57"/>
      <c r="B86" s="57"/>
    </row>
    <row r="87" spans="1:2" x14ac:dyDescent="0.2">
      <c r="A87" s="57"/>
      <c r="B87" s="57"/>
    </row>
    <row r="88" spans="1:2" x14ac:dyDescent="0.2">
      <c r="A88" s="57"/>
      <c r="B88" s="57"/>
    </row>
    <row r="89" spans="1:2" x14ac:dyDescent="0.2">
      <c r="A89" s="57"/>
      <c r="B89" s="57"/>
    </row>
    <row r="90" spans="1:2" x14ac:dyDescent="0.2">
      <c r="A90" s="57"/>
      <c r="B90" s="57"/>
    </row>
    <row r="91" spans="1:2" x14ac:dyDescent="0.2">
      <c r="A91" s="57"/>
      <c r="B91" s="57"/>
    </row>
    <row r="92" spans="1:2" x14ac:dyDescent="0.2">
      <c r="A92" s="57"/>
      <c r="B92" s="57"/>
    </row>
    <row r="93" spans="1:2" x14ac:dyDescent="0.2">
      <c r="A93" s="57"/>
      <c r="B93" s="57"/>
    </row>
    <row r="94" spans="1:2" x14ac:dyDescent="0.2">
      <c r="A94" s="57"/>
      <c r="B94" s="57"/>
    </row>
    <row r="95" spans="1:2" x14ac:dyDescent="0.2">
      <c r="A95" s="57"/>
      <c r="B95" s="57"/>
    </row>
    <row r="96" spans="1:2" x14ac:dyDescent="0.2">
      <c r="A96" s="57"/>
      <c r="B96" s="57"/>
    </row>
    <row r="97" spans="1:2" x14ac:dyDescent="0.2">
      <c r="A97" s="57"/>
      <c r="B97" s="57"/>
    </row>
    <row r="98" spans="1:2" x14ac:dyDescent="0.2">
      <c r="A98" s="57"/>
      <c r="B98" s="57"/>
    </row>
    <row r="99" spans="1:2" x14ac:dyDescent="0.2">
      <c r="A99" s="57"/>
      <c r="B99" s="57"/>
    </row>
    <row r="100" spans="1:2" x14ac:dyDescent="0.2">
      <c r="A100" s="57"/>
      <c r="B100" s="57"/>
    </row>
    <row r="101" spans="1:2" x14ac:dyDescent="0.2">
      <c r="A101" s="57"/>
      <c r="B101" s="57"/>
    </row>
    <row r="102" spans="1:2" x14ac:dyDescent="0.2">
      <c r="A102" s="57"/>
      <c r="B102" s="57"/>
    </row>
    <row r="103" spans="1:2" x14ac:dyDescent="0.2">
      <c r="A103" s="57"/>
      <c r="B103" s="57"/>
    </row>
    <row r="104" spans="1:2" x14ac:dyDescent="0.2">
      <c r="A104" s="57"/>
      <c r="B104" s="57"/>
    </row>
    <row r="105" spans="1:2" x14ac:dyDescent="0.2">
      <c r="A105" s="57"/>
      <c r="B105" s="57"/>
    </row>
    <row r="106" spans="1:2" x14ac:dyDescent="0.2">
      <c r="A106" s="57"/>
      <c r="B106" s="57"/>
    </row>
    <row r="107" spans="1:2" x14ac:dyDescent="0.2">
      <c r="A107" s="57"/>
      <c r="B107" s="57"/>
    </row>
    <row r="108" spans="1:2" x14ac:dyDescent="0.2">
      <c r="A108" s="57"/>
      <c r="B108" s="57"/>
    </row>
    <row r="109" spans="1:2" x14ac:dyDescent="0.2">
      <c r="A109" s="57"/>
      <c r="B109" s="57"/>
    </row>
    <row r="110" spans="1:2" x14ac:dyDescent="0.2">
      <c r="A110" s="57"/>
      <c r="B110" s="57"/>
    </row>
    <row r="111" spans="1:2" x14ac:dyDescent="0.2">
      <c r="A111" s="57"/>
      <c r="B111" s="57"/>
    </row>
    <row r="112" spans="1:2" x14ac:dyDescent="0.2">
      <c r="A112" s="57"/>
      <c r="B112" s="57"/>
    </row>
    <row r="113" spans="1:2" x14ac:dyDescent="0.2">
      <c r="A113" s="57"/>
      <c r="B113" s="57"/>
    </row>
    <row r="114" spans="1:2" x14ac:dyDescent="0.2">
      <c r="A114" s="57"/>
      <c r="B114" s="57"/>
    </row>
    <row r="115" spans="1:2" x14ac:dyDescent="0.2">
      <c r="A115" s="57"/>
      <c r="B115" s="57"/>
    </row>
    <row r="116" spans="1:2" x14ac:dyDescent="0.2">
      <c r="A116" s="57"/>
      <c r="B116" s="57"/>
    </row>
    <row r="117" spans="1:2" x14ac:dyDescent="0.2">
      <c r="A117" s="57"/>
      <c r="B117" s="57"/>
    </row>
    <row r="118" spans="1:2" x14ac:dyDescent="0.2">
      <c r="A118" s="57"/>
      <c r="B118" s="57"/>
    </row>
    <row r="119" spans="1:2" x14ac:dyDescent="0.2">
      <c r="A119" s="57"/>
      <c r="B119" s="57"/>
    </row>
    <row r="120" spans="1:2" x14ac:dyDescent="0.2">
      <c r="A120" s="57"/>
      <c r="B120" s="57"/>
    </row>
    <row r="121" spans="1:2" x14ac:dyDescent="0.2">
      <c r="A121" s="57"/>
      <c r="B121" s="57"/>
    </row>
    <row r="122" spans="1:2" x14ac:dyDescent="0.2">
      <c r="A122" s="57"/>
      <c r="B122" s="57"/>
    </row>
    <row r="123" spans="1:2" x14ac:dyDescent="0.2">
      <c r="A123" s="57"/>
      <c r="B123" s="57"/>
    </row>
    <row r="124" spans="1:2" x14ac:dyDescent="0.2">
      <c r="A124" s="57"/>
      <c r="B124" s="57"/>
    </row>
    <row r="125" spans="1:2" x14ac:dyDescent="0.2">
      <c r="A125" s="57"/>
      <c r="B125" s="57"/>
    </row>
    <row r="126" spans="1:2" x14ac:dyDescent="0.2">
      <c r="A126" s="57"/>
      <c r="B126" s="57"/>
    </row>
    <row r="127" spans="1:2" x14ac:dyDescent="0.2">
      <c r="A127" s="57"/>
      <c r="B127" s="57"/>
    </row>
    <row r="128" spans="1:2" x14ac:dyDescent="0.2">
      <c r="A128" s="57"/>
      <c r="B128" s="57"/>
    </row>
    <row r="129" spans="1:2" x14ac:dyDescent="0.2">
      <c r="A129" s="57"/>
      <c r="B129" s="57"/>
    </row>
    <row r="130" spans="1:2" x14ac:dyDescent="0.2">
      <c r="A130" s="57"/>
      <c r="B130" s="57"/>
    </row>
    <row r="131" spans="1:2" x14ac:dyDescent="0.2">
      <c r="A131" s="57"/>
      <c r="B131" s="57"/>
    </row>
    <row r="132" spans="1:2" x14ac:dyDescent="0.2">
      <c r="A132" s="57"/>
      <c r="B132" s="57"/>
    </row>
    <row r="133" spans="1:2" x14ac:dyDescent="0.2">
      <c r="A133" s="57"/>
      <c r="B133" s="57"/>
    </row>
    <row r="134" spans="1:2" x14ac:dyDescent="0.2">
      <c r="A134" s="57"/>
      <c r="B134" s="57"/>
    </row>
    <row r="135" spans="1:2" x14ac:dyDescent="0.2">
      <c r="A135" s="57"/>
      <c r="B135" s="57"/>
    </row>
    <row r="136" spans="1:2" x14ac:dyDescent="0.2">
      <c r="A136" s="57"/>
      <c r="B136" s="57"/>
    </row>
    <row r="137" spans="1:2" x14ac:dyDescent="0.2">
      <c r="A137" s="57"/>
      <c r="B137" s="57"/>
    </row>
    <row r="138" spans="1:2" x14ac:dyDescent="0.2">
      <c r="A138" s="57"/>
      <c r="B138" s="57"/>
    </row>
    <row r="139" spans="1:2" x14ac:dyDescent="0.2">
      <c r="A139" s="57"/>
      <c r="B139" s="57"/>
    </row>
    <row r="140" spans="1:2" x14ac:dyDescent="0.2">
      <c r="A140" s="57"/>
      <c r="B140" s="57"/>
    </row>
    <row r="141" spans="1:2" x14ac:dyDescent="0.2">
      <c r="A141" s="57"/>
      <c r="B141" s="57"/>
    </row>
    <row r="142" spans="1:2" x14ac:dyDescent="0.2">
      <c r="A142" s="57"/>
      <c r="B142" s="57"/>
    </row>
    <row r="143" spans="1:2" x14ac:dyDescent="0.2">
      <c r="A143" s="57"/>
      <c r="B143" s="57"/>
    </row>
    <row r="144" spans="1:2" x14ac:dyDescent="0.2">
      <c r="A144" s="57"/>
      <c r="B144" s="57"/>
    </row>
    <row r="145" spans="1:2" x14ac:dyDescent="0.2">
      <c r="A145" s="57"/>
      <c r="B145" s="57"/>
    </row>
    <row r="146" spans="1:2" x14ac:dyDescent="0.2">
      <c r="A146" s="57"/>
      <c r="B146" s="57"/>
    </row>
    <row r="147" spans="1:2" x14ac:dyDescent="0.2">
      <c r="A147" s="57"/>
      <c r="B147" s="57"/>
    </row>
    <row r="148" spans="1:2" x14ac:dyDescent="0.2">
      <c r="A148" s="57"/>
      <c r="B148" s="57"/>
    </row>
    <row r="149" spans="1:2" x14ac:dyDescent="0.2">
      <c r="A149" s="57"/>
      <c r="B149" s="57"/>
    </row>
    <row r="150" spans="1:2" x14ac:dyDescent="0.2">
      <c r="A150" s="57"/>
      <c r="B150" s="57"/>
    </row>
    <row r="151" spans="1:2" x14ac:dyDescent="0.2">
      <c r="A151" s="57"/>
      <c r="B151" s="57"/>
    </row>
    <row r="152" spans="1:2" x14ac:dyDescent="0.2">
      <c r="A152" s="57"/>
      <c r="B152" s="57"/>
    </row>
    <row r="153" spans="1:2" x14ac:dyDescent="0.2">
      <c r="A153" s="57"/>
      <c r="B153" s="57"/>
    </row>
    <row r="154" spans="1:2" x14ac:dyDescent="0.2">
      <c r="A154" s="57"/>
      <c r="B154" s="57"/>
    </row>
    <row r="155" spans="1:2" x14ac:dyDescent="0.2">
      <c r="A155" s="57"/>
      <c r="B155" s="57"/>
    </row>
    <row r="156" spans="1:2" x14ac:dyDescent="0.2">
      <c r="A156" s="57"/>
      <c r="B156" s="57"/>
    </row>
    <row r="157" spans="1:2" x14ac:dyDescent="0.2">
      <c r="A157" s="57"/>
      <c r="B157" s="57"/>
    </row>
    <row r="158" spans="1:2" x14ac:dyDescent="0.2">
      <c r="A158" s="57"/>
      <c r="B158" s="57"/>
    </row>
    <row r="159" spans="1:2" x14ac:dyDescent="0.2">
      <c r="A159" s="57"/>
      <c r="B159" s="57"/>
    </row>
    <row r="160" spans="1:2" x14ac:dyDescent="0.2">
      <c r="A160" s="57"/>
      <c r="B160" s="57"/>
    </row>
    <row r="161" spans="1:2" x14ac:dyDescent="0.2">
      <c r="A161" s="57"/>
      <c r="B161" s="57"/>
    </row>
    <row r="162" spans="1:2" x14ac:dyDescent="0.2">
      <c r="A162" s="57"/>
      <c r="B162" s="57"/>
    </row>
    <row r="163" spans="1:2" x14ac:dyDescent="0.2">
      <c r="A163" s="57"/>
      <c r="B163" s="57"/>
    </row>
    <row r="164" spans="1:2" x14ac:dyDescent="0.2">
      <c r="A164" s="57"/>
      <c r="B164" s="57"/>
    </row>
    <row r="165" spans="1:2" x14ac:dyDescent="0.2">
      <c r="A165" s="57"/>
      <c r="B165" s="57"/>
    </row>
    <row r="166" spans="1:2" x14ac:dyDescent="0.2">
      <c r="A166" s="57"/>
      <c r="B166" s="57"/>
    </row>
    <row r="167" spans="1:2" x14ac:dyDescent="0.2">
      <c r="A167" s="57"/>
      <c r="B167" s="57"/>
    </row>
    <row r="168" spans="1:2" x14ac:dyDescent="0.2">
      <c r="A168" s="57"/>
      <c r="B168" s="57"/>
    </row>
    <row r="169" spans="1:2" x14ac:dyDescent="0.2">
      <c r="A169" s="57"/>
      <c r="B169" s="57"/>
    </row>
    <row r="170" spans="1:2" x14ac:dyDescent="0.2">
      <c r="A170" s="57"/>
      <c r="B170" s="57"/>
    </row>
    <row r="171" spans="1:2" x14ac:dyDescent="0.2">
      <c r="A171" s="57"/>
      <c r="B171" s="57"/>
    </row>
    <row r="172" spans="1:2" x14ac:dyDescent="0.2">
      <c r="A172" s="57"/>
      <c r="B172" s="57"/>
    </row>
    <row r="173" spans="1:2" x14ac:dyDescent="0.2">
      <c r="A173" s="57"/>
      <c r="B173" s="57"/>
    </row>
    <row r="174" spans="1:2" x14ac:dyDescent="0.2">
      <c r="A174" s="57"/>
      <c r="B174" s="57"/>
    </row>
    <row r="175" spans="1:2" x14ac:dyDescent="0.2">
      <c r="A175" s="57"/>
      <c r="B175" s="57"/>
    </row>
    <row r="176" spans="1:2" x14ac:dyDescent="0.2">
      <c r="A176" s="57"/>
      <c r="B176" s="57"/>
    </row>
    <row r="177" spans="1:2" x14ac:dyDescent="0.2">
      <c r="A177" s="57"/>
      <c r="B177" s="57"/>
    </row>
    <row r="178" spans="1:2" x14ac:dyDescent="0.2">
      <c r="A178" s="57"/>
      <c r="B178" s="57"/>
    </row>
    <row r="179" spans="1:2" x14ac:dyDescent="0.2">
      <c r="A179" s="57"/>
      <c r="B179" s="57"/>
    </row>
    <row r="180" spans="1:2" x14ac:dyDescent="0.2">
      <c r="A180" s="57"/>
      <c r="B180" s="57"/>
    </row>
    <row r="181" spans="1:2" x14ac:dyDescent="0.2">
      <c r="A181" s="57"/>
      <c r="B181" s="57"/>
    </row>
    <row r="182" spans="1:2" x14ac:dyDescent="0.2">
      <c r="A182" s="57"/>
      <c r="B182" s="57"/>
    </row>
    <row r="183" spans="1:2" x14ac:dyDescent="0.2">
      <c r="A183" s="57"/>
      <c r="B183" s="57"/>
    </row>
    <row r="184" spans="1:2" x14ac:dyDescent="0.2">
      <c r="A184" s="57"/>
      <c r="B184" s="57"/>
    </row>
    <row r="185" spans="1:2" x14ac:dyDescent="0.2">
      <c r="A185" s="57"/>
      <c r="B185" s="57"/>
    </row>
    <row r="186" spans="1:2" x14ac:dyDescent="0.2">
      <c r="A186" s="57"/>
      <c r="B186" s="57"/>
    </row>
    <row r="187" spans="1:2" x14ac:dyDescent="0.2">
      <c r="A187" s="57"/>
      <c r="B187" s="57"/>
    </row>
    <row r="188" spans="1:2" x14ac:dyDescent="0.2">
      <c r="A188" s="57"/>
      <c r="B188" s="57"/>
    </row>
    <row r="189" spans="1:2" x14ac:dyDescent="0.2">
      <c r="A189" s="57"/>
      <c r="B189" s="57"/>
    </row>
    <row r="190" spans="1:2" x14ac:dyDescent="0.2">
      <c r="A190" s="57"/>
      <c r="B190" s="57"/>
    </row>
    <row r="191" spans="1:2" x14ac:dyDescent="0.2">
      <c r="A191" s="57"/>
      <c r="B191" s="57"/>
    </row>
    <row r="192" spans="1:2" x14ac:dyDescent="0.2">
      <c r="A192" s="57"/>
      <c r="B192" s="57"/>
    </row>
    <row r="193" spans="1:2" x14ac:dyDescent="0.2">
      <c r="A193" s="57"/>
      <c r="B193" s="57"/>
    </row>
    <row r="194" spans="1:2" x14ac:dyDescent="0.2">
      <c r="A194" s="57"/>
      <c r="B194" s="57"/>
    </row>
    <row r="195" spans="1:2" x14ac:dyDescent="0.2">
      <c r="A195" s="57"/>
      <c r="B195" s="57"/>
    </row>
    <row r="196" spans="1:2" x14ac:dyDescent="0.2">
      <c r="A196" s="57"/>
      <c r="B196" s="57"/>
    </row>
    <row r="197" spans="1:2" x14ac:dyDescent="0.2">
      <c r="A197" s="57"/>
      <c r="B197" s="57"/>
    </row>
    <row r="198" spans="1:2" x14ac:dyDescent="0.2">
      <c r="A198" s="57"/>
      <c r="B198" s="57"/>
    </row>
    <row r="199" spans="1:2" x14ac:dyDescent="0.2">
      <c r="A199" s="57"/>
      <c r="B199" s="57"/>
    </row>
    <row r="200" spans="1:2" x14ac:dyDescent="0.2">
      <c r="A200" s="57"/>
      <c r="B200" s="57"/>
    </row>
    <row r="201" spans="1:2" x14ac:dyDescent="0.2">
      <c r="A201" s="57"/>
      <c r="B201" s="57"/>
    </row>
    <row r="202" spans="1:2" x14ac:dyDescent="0.2">
      <c r="A202" s="57"/>
      <c r="B202" s="57"/>
    </row>
    <row r="203" spans="1:2" x14ac:dyDescent="0.2">
      <c r="A203" s="57"/>
      <c r="B203" s="57"/>
    </row>
    <row r="204" spans="1:2" x14ac:dyDescent="0.2">
      <c r="A204" s="57"/>
      <c r="B204" s="57"/>
    </row>
    <row r="205" spans="1:2" x14ac:dyDescent="0.2">
      <c r="A205" s="57"/>
      <c r="B205" s="57"/>
    </row>
    <row r="206" spans="1:2" x14ac:dyDescent="0.2">
      <c r="A206" s="57"/>
      <c r="B206" s="57"/>
    </row>
    <row r="207" spans="1:2" x14ac:dyDescent="0.2">
      <c r="A207" s="57"/>
      <c r="B207" s="57"/>
    </row>
    <row r="208" spans="1:2" x14ac:dyDescent="0.2">
      <c r="A208" s="57"/>
      <c r="B208" s="57"/>
    </row>
    <row r="209" spans="1:2" x14ac:dyDescent="0.2">
      <c r="A209" s="57"/>
      <c r="B209" s="57"/>
    </row>
    <row r="210" spans="1:2" x14ac:dyDescent="0.2">
      <c r="A210" s="57"/>
      <c r="B210" s="57"/>
    </row>
    <row r="211" spans="1:2" x14ac:dyDescent="0.2">
      <c r="A211" s="57"/>
      <c r="B211" s="57"/>
    </row>
    <row r="212" spans="1:2" x14ac:dyDescent="0.2">
      <c r="A212" s="57"/>
      <c r="B212" s="57"/>
    </row>
    <row r="213" spans="1:2" x14ac:dyDescent="0.2">
      <c r="A213" s="57"/>
      <c r="B213" s="57"/>
    </row>
    <row r="214" spans="1:2" x14ac:dyDescent="0.2">
      <c r="A214" s="57"/>
      <c r="B214" s="57"/>
    </row>
    <row r="215" spans="1:2" x14ac:dyDescent="0.2">
      <c r="A215" s="57"/>
      <c r="B215" s="57"/>
    </row>
    <row r="216" spans="1:2" x14ac:dyDescent="0.2">
      <c r="A216" s="57"/>
      <c r="B216" s="57"/>
    </row>
    <row r="217" spans="1:2" x14ac:dyDescent="0.2">
      <c r="A217" s="57"/>
      <c r="B217" s="57"/>
    </row>
    <row r="218" spans="1:2" x14ac:dyDescent="0.2">
      <c r="A218" s="57"/>
      <c r="B218" s="57"/>
    </row>
    <row r="219" spans="1:2" x14ac:dyDescent="0.2">
      <c r="A219" s="57"/>
      <c r="B219" s="57"/>
    </row>
    <row r="220" spans="1:2" x14ac:dyDescent="0.2">
      <c r="A220" s="57"/>
      <c r="B220" s="57"/>
    </row>
    <row r="221" spans="1:2" x14ac:dyDescent="0.2">
      <c r="A221" s="57"/>
      <c r="B221" s="57"/>
    </row>
    <row r="222" spans="1:2" x14ac:dyDescent="0.2">
      <c r="A222" s="57"/>
      <c r="B222" s="57"/>
    </row>
    <row r="223" spans="1:2" x14ac:dyDescent="0.2">
      <c r="A223" s="57"/>
      <c r="B223" s="57"/>
    </row>
    <row r="224" spans="1:2" x14ac:dyDescent="0.2">
      <c r="A224" s="57"/>
      <c r="B224" s="57"/>
    </row>
    <row r="225" spans="1:2" x14ac:dyDescent="0.2">
      <c r="A225" s="57"/>
      <c r="B225" s="57"/>
    </row>
    <row r="226" spans="1:2" x14ac:dyDescent="0.2">
      <c r="A226" s="57"/>
      <c r="B226" s="57"/>
    </row>
    <row r="227" spans="1:2" x14ac:dyDescent="0.2">
      <c r="A227" s="57"/>
      <c r="B227" s="57"/>
    </row>
    <row r="228" spans="1:2" x14ac:dyDescent="0.2">
      <c r="A228" s="57"/>
      <c r="B228" s="57"/>
    </row>
    <row r="229" spans="1:2" x14ac:dyDescent="0.2">
      <c r="A229" s="57"/>
      <c r="B229" s="57"/>
    </row>
    <row r="230" spans="1:2" x14ac:dyDescent="0.2">
      <c r="A230" s="57"/>
      <c r="B230" s="57"/>
    </row>
    <row r="231" spans="1:2" x14ac:dyDescent="0.2">
      <c r="A231" s="57"/>
      <c r="B231" s="57"/>
    </row>
    <row r="232" spans="1:2" x14ac:dyDescent="0.2">
      <c r="A232" s="57"/>
      <c r="B232" s="57"/>
    </row>
    <row r="233" spans="1:2" x14ac:dyDescent="0.2">
      <c r="A233" s="57"/>
      <c r="B233" s="57"/>
    </row>
    <row r="234" spans="1:2" x14ac:dyDescent="0.2">
      <c r="A234" s="57"/>
      <c r="B234" s="57"/>
    </row>
    <row r="235" spans="1:2" x14ac:dyDescent="0.2">
      <c r="A235" s="57"/>
      <c r="B235" s="57"/>
    </row>
    <row r="236" spans="1:2" x14ac:dyDescent="0.2">
      <c r="A236" s="57"/>
      <c r="B236" s="57"/>
    </row>
    <row r="237" spans="1:2" x14ac:dyDescent="0.2">
      <c r="A237" s="57"/>
      <c r="B237" s="57"/>
    </row>
    <row r="238" spans="1:2" x14ac:dyDescent="0.2">
      <c r="A238" s="57"/>
      <c r="B238" s="57"/>
    </row>
    <row r="239" spans="1:2" x14ac:dyDescent="0.2">
      <c r="A239" s="57"/>
      <c r="B239" s="57"/>
    </row>
    <row r="240" spans="1:2" x14ac:dyDescent="0.2">
      <c r="A240" s="57"/>
      <c r="B240" s="57"/>
    </row>
    <row r="241" spans="1:2" x14ac:dyDescent="0.2">
      <c r="A241" s="57"/>
      <c r="B241" s="57"/>
    </row>
    <row r="242" spans="1:2" x14ac:dyDescent="0.2">
      <c r="A242" s="57"/>
      <c r="B242" s="57"/>
    </row>
    <row r="243" spans="1:2" x14ac:dyDescent="0.2">
      <c r="A243" s="57"/>
      <c r="B243" s="57"/>
    </row>
    <row r="244" spans="1:2" x14ac:dyDescent="0.2">
      <c r="A244" s="57"/>
      <c r="B244" s="57"/>
    </row>
    <row r="245" spans="1:2" x14ac:dyDescent="0.2">
      <c r="A245" s="57"/>
      <c r="B245" s="57"/>
    </row>
    <row r="246" spans="1:2" x14ac:dyDescent="0.2">
      <c r="A246" s="57"/>
      <c r="B246" s="57"/>
    </row>
    <row r="247" spans="1:2" x14ac:dyDescent="0.2">
      <c r="A247" s="57"/>
      <c r="B247" s="57"/>
    </row>
    <row r="248" spans="1:2" x14ac:dyDescent="0.2">
      <c r="A248" s="57"/>
      <c r="B248" s="57"/>
    </row>
    <row r="249" spans="1:2" x14ac:dyDescent="0.2">
      <c r="A249" s="57"/>
      <c r="B249" s="57"/>
    </row>
    <row r="250" spans="1:2" x14ac:dyDescent="0.2">
      <c r="A250" s="57"/>
      <c r="B250" s="57"/>
    </row>
    <row r="251" spans="1:2" x14ac:dyDescent="0.2">
      <c r="A251" s="57"/>
      <c r="B251" s="57"/>
    </row>
    <row r="252" spans="1:2" x14ac:dyDescent="0.2">
      <c r="A252" s="57"/>
      <c r="B252" s="57"/>
    </row>
    <row r="253" spans="1:2" x14ac:dyDescent="0.2">
      <c r="A253" s="57"/>
      <c r="B253" s="57"/>
    </row>
    <row r="254" spans="1:2" x14ac:dyDescent="0.2">
      <c r="A254" s="57"/>
      <c r="B254" s="57"/>
    </row>
    <row r="255" spans="1:2" x14ac:dyDescent="0.2">
      <c r="A255" s="57"/>
      <c r="B255" s="57"/>
    </row>
    <row r="256" spans="1:2" x14ac:dyDescent="0.2">
      <c r="A256" s="57"/>
      <c r="B256" s="57"/>
    </row>
    <row r="257" spans="1:2" x14ac:dyDescent="0.2">
      <c r="A257" s="57"/>
      <c r="B257" s="57"/>
    </row>
    <row r="258" spans="1:2" x14ac:dyDescent="0.2">
      <c r="A258" s="57"/>
      <c r="B258" s="57"/>
    </row>
    <row r="259" spans="1:2" x14ac:dyDescent="0.2">
      <c r="A259" s="57"/>
      <c r="B259" s="57"/>
    </row>
    <row r="260" spans="1:2" x14ac:dyDescent="0.2">
      <c r="A260" s="57"/>
      <c r="B260" s="57"/>
    </row>
    <row r="261" spans="1:2" x14ac:dyDescent="0.2">
      <c r="A261" s="57"/>
      <c r="B261" s="57"/>
    </row>
    <row r="262" spans="1:2" x14ac:dyDescent="0.2">
      <c r="A262" s="57"/>
      <c r="B262" s="57"/>
    </row>
    <row r="263" spans="1:2" x14ac:dyDescent="0.2">
      <c r="A263" s="57"/>
      <c r="B263" s="57"/>
    </row>
    <row r="264" spans="1:2" x14ac:dyDescent="0.2">
      <c r="A264" s="57"/>
      <c r="B264" s="57"/>
    </row>
    <row r="265" spans="1:2" x14ac:dyDescent="0.2">
      <c r="A265" s="57"/>
      <c r="B265" s="57"/>
    </row>
    <row r="266" spans="1:2" x14ac:dyDescent="0.2">
      <c r="A266" s="57"/>
      <c r="B266" s="57"/>
    </row>
    <row r="267" spans="1:2" x14ac:dyDescent="0.2">
      <c r="A267" s="57"/>
      <c r="B267" s="57"/>
    </row>
    <row r="268" spans="1:2" x14ac:dyDescent="0.2">
      <c r="A268" s="57"/>
      <c r="B268" s="57"/>
    </row>
    <row r="269" spans="1:2" x14ac:dyDescent="0.2">
      <c r="A269" s="57"/>
      <c r="B269" s="57"/>
    </row>
    <row r="270" spans="1:2" x14ac:dyDescent="0.2">
      <c r="A270" s="57"/>
      <c r="B270" s="57"/>
    </row>
    <row r="271" spans="1:2" x14ac:dyDescent="0.2">
      <c r="A271" s="57"/>
      <c r="B271" s="57"/>
    </row>
    <row r="272" spans="1:2" x14ac:dyDescent="0.2">
      <c r="A272" s="57"/>
      <c r="B272" s="57"/>
    </row>
    <row r="273" spans="1:2" x14ac:dyDescent="0.2">
      <c r="A273" s="57"/>
      <c r="B273" s="57"/>
    </row>
    <row r="274" spans="1:2" x14ac:dyDescent="0.2">
      <c r="A274" s="57"/>
      <c r="B274" s="57"/>
    </row>
    <row r="275" spans="1:2" x14ac:dyDescent="0.2">
      <c r="A275" s="57"/>
      <c r="B275" s="57"/>
    </row>
    <row r="276" spans="1:2" x14ac:dyDescent="0.2">
      <c r="A276" s="57"/>
      <c r="B276" s="57"/>
    </row>
    <row r="277" spans="1:2" x14ac:dyDescent="0.2">
      <c r="A277" s="57"/>
      <c r="B277" s="57"/>
    </row>
    <row r="278" spans="1:2" x14ac:dyDescent="0.2">
      <c r="A278" s="57"/>
      <c r="B278" s="57"/>
    </row>
    <row r="279" spans="1:2" x14ac:dyDescent="0.2">
      <c r="A279" s="57"/>
      <c r="B279" s="57"/>
    </row>
    <row r="280" spans="1:2" x14ac:dyDescent="0.2">
      <c r="A280" s="57"/>
      <c r="B280" s="57"/>
    </row>
    <row r="281" spans="1:2" x14ac:dyDescent="0.2">
      <c r="A281" s="57"/>
      <c r="B281" s="57"/>
    </row>
    <row r="282" spans="1:2" x14ac:dyDescent="0.2">
      <c r="A282" s="57"/>
      <c r="B282" s="57"/>
    </row>
    <row r="283" spans="1:2" x14ac:dyDescent="0.2">
      <c r="A283" s="57"/>
      <c r="B283" s="57"/>
    </row>
    <row r="284" spans="1:2" x14ac:dyDescent="0.2">
      <c r="A284" s="57"/>
      <c r="B284" s="57"/>
    </row>
    <row r="285" spans="1:2" x14ac:dyDescent="0.2">
      <c r="A285" s="57"/>
      <c r="B285" s="57"/>
    </row>
    <row r="286" spans="1:2" x14ac:dyDescent="0.2">
      <c r="A286" s="57"/>
      <c r="B286" s="57"/>
    </row>
    <row r="287" spans="1:2" x14ac:dyDescent="0.2">
      <c r="A287" s="57"/>
      <c r="B287" s="57"/>
    </row>
    <row r="288" spans="1:2" x14ac:dyDescent="0.2">
      <c r="A288" s="57"/>
      <c r="B288" s="57"/>
    </row>
    <row r="289" spans="1:2" x14ac:dyDescent="0.2">
      <c r="A289" s="57"/>
      <c r="B289" s="57"/>
    </row>
    <row r="290" spans="1:2" x14ac:dyDescent="0.2">
      <c r="A290" s="57"/>
      <c r="B290" s="57"/>
    </row>
    <row r="291" spans="1:2" x14ac:dyDescent="0.2">
      <c r="A291" s="57"/>
      <c r="B291" s="57"/>
    </row>
    <row r="292" spans="1:2" x14ac:dyDescent="0.2">
      <c r="A292" s="57"/>
      <c r="B292" s="57"/>
    </row>
    <row r="293" spans="1:2" x14ac:dyDescent="0.2">
      <c r="A293" s="57"/>
      <c r="B293" s="57"/>
    </row>
    <row r="294" spans="1:2" x14ac:dyDescent="0.2">
      <c r="A294" s="57"/>
      <c r="B294" s="57"/>
    </row>
    <row r="295" spans="1:2" x14ac:dyDescent="0.2">
      <c r="A295" s="57"/>
      <c r="B295" s="57"/>
    </row>
    <row r="296" spans="1:2" x14ac:dyDescent="0.2">
      <c r="A296" s="57"/>
      <c r="B296" s="57"/>
    </row>
    <row r="297" spans="1:2" x14ac:dyDescent="0.2">
      <c r="A297" s="57"/>
      <c r="B297" s="57"/>
    </row>
    <row r="298" spans="1:2" x14ac:dyDescent="0.2">
      <c r="A298" s="57"/>
      <c r="B298" s="57"/>
    </row>
    <row r="299" spans="1:2" x14ac:dyDescent="0.2">
      <c r="A299" s="57"/>
      <c r="B299" s="57"/>
    </row>
    <row r="300" spans="1:2" x14ac:dyDescent="0.2">
      <c r="A300" s="57"/>
      <c r="B300" s="57"/>
    </row>
    <row r="301" spans="1:2" x14ac:dyDescent="0.2">
      <c r="A301" s="57"/>
      <c r="B301" s="57"/>
    </row>
    <row r="302" spans="1:2" x14ac:dyDescent="0.2">
      <c r="A302" s="57"/>
      <c r="B302" s="57"/>
    </row>
    <row r="303" spans="1:2" x14ac:dyDescent="0.2">
      <c r="A303" s="57"/>
      <c r="B303" s="57"/>
    </row>
    <row r="304" spans="1:2" x14ac:dyDescent="0.2">
      <c r="A304" s="57"/>
      <c r="B304" s="57"/>
    </row>
    <row r="305" spans="1:2" x14ac:dyDescent="0.2">
      <c r="A305" s="57"/>
      <c r="B305" s="57"/>
    </row>
    <row r="306" spans="1:2" x14ac:dyDescent="0.2">
      <c r="A306" s="57"/>
      <c r="B306" s="57"/>
    </row>
    <row r="307" spans="1:2" x14ac:dyDescent="0.2">
      <c r="A307" s="57"/>
      <c r="B307" s="57"/>
    </row>
    <row r="308" spans="1:2" x14ac:dyDescent="0.2">
      <c r="A308" s="57"/>
      <c r="B308" s="57"/>
    </row>
    <row r="309" spans="1:2" x14ac:dyDescent="0.2">
      <c r="A309" s="57"/>
      <c r="B309" s="57"/>
    </row>
    <row r="310" spans="1:2" x14ac:dyDescent="0.2">
      <c r="A310" s="57"/>
      <c r="B310" s="57"/>
    </row>
    <row r="311" spans="1:2" x14ac:dyDescent="0.2">
      <c r="A311" s="57"/>
      <c r="B311" s="57"/>
    </row>
    <row r="312" spans="1:2" x14ac:dyDescent="0.2">
      <c r="A312" s="57"/>
      <c r="B312" s="57"/>
    </row>
    <row r="313" spans="1:2" x14ac:dyDescent="0.2">
      <c r="A313" s="57"/>
      <c r="B313" s="57"/>
    </row>
    <row r="314" spans="1:2" x14ac:dyDescent="0.2">
      <c r="A314" s="57"/>
      <c r="B314" s="57"/>
    </row>
    <row r="315" spans="1:2" x14ac:dyDescent="0.2">
      <c r="A315" s="57"/>
      <c r="B315" s="57"/>
    </row>
    <row r="316" spans="1:2" x14ac:dyDescent="0.2">
      <c r="A316" s="57"/>
      <c r="B316" s="57"/>
    </row>
    <row r="317" spans="1:2" x14ac:dyDescent="0.2">
      <c r="A317" s="57"/>
      <c r="B317" s="57"/>
    </row>
    <row r="318" spans="1:2" x14ac:dyDescent="0.2">
      <c r="A318" s="57"/>
      <c r="B318" s="57"/>
    </row>
    <row r="319" spans="1:2" x14ac:dyDescent="0.2">
      <c r="A319" s="57"/>
      <c r="B319" s="57"/>
    </row>
    <row r="320" spans="1:2" x14ac:dyDescent="0.2">
      <c r="A320" s="57"/>
      <c r="B320" s="57"/>
    </row>
    <row r="321" spans="1:2" x14ac:dyDescent="0.2">
      <c r="A321" s="57"/>
      <c r="B321" s="57"/>
    </row>
    <row r="322" spans="1:2" x14ac:dyDescent="0.2">
      <c r="A322" s="57"/>
      <c r="B322" s="57"/>
    </row>
    <row r="323" spans="1:2" x14ac:dyDescent="0.2">
      <c r="A323" s="57"/>
      <c r="B323" s="57"/>
    </row>
    <row r="324" spans="1:2" x14ac:dyDescent="0.2">
      <c r="A324" s="57"/>
      <c r="B324" s="57"/>
    </row>
    <row r="325" spans="1:2" x14ac:dyDescent="0.2">
      <c r="A325" s="57"/>
      <c r="B325" s="57"/>
    </row>
    <row r="326" spans="1:2" x14ac:dyDescent="0.2">
      <c r="A326" s="57"/>
      <c r="B326" s="57"/>
    </row>
    <row r="327" spans="1:2" x14ac:dyDescent="0.2">
      <c r="A327" s="57"/>
      <c r="B327" s="57"/>
    </row>
    <row r="328" spans="1:2" x14ac:dyDescent="0.2">
      <c r="A328" s="57"/>
      <c r="B328" s="57"/>
    </row>
    <row r="329" spans="1:2" x14ac:dyDescent="0.2">
      <c r="A329" s="57"/>
      <c r="B329" s="57"/>
    </row>
    <row r="330" spans="1:2" x14ac:dyDescent="0.2">
      <c r="A330" s="57"/>
      <c r="B330" s="57"/>
    </row>
    <row r="331" spans="1:2" x14ac:dyDescent="0.2">
      <c r="A331" s="57"/>
      <c r="B331" s="57"/>
    </row>
    <row r="332" spans="1:2" x14ac:dyDescent="0.2">
      <c r="A332" s="57"/>
      <c r="B332" s="57"/>
    </row>
    <row r="333" spans="1:2" x14ac:dyDescent="0.2">
      <c r="A333" s="57"/>
      <c r="B333" s="57"/>
    </row>
    <row r="334" spans="1:2" x14ac:dyDescent="0.2">
      <c r="A334" s="57"/>
      <c r="B334" s="57"/>
    </row>
    <row r="335" spans="1:2" x14ac:dyDescent="0.2">
      <c r="A335" s="57"/>
      <c r="B335" s="57"/>
    </row>
    <row r="336" spans="1:2" x14ac:dyDescent="0.2">
      <c r="A336" s="57"/>
      <c r="B336" s="57"/>
    </row>
    <row r="337" spans="1:2" x14ac:dyDescent="0.2">
      <c r="A337" s="57"/>
      <c r="B337" s="57"/>
    </row>
    <row r="338" spans="1:2" x14ac:dyDescent="0.2">
      <c r="A338" s="57"/>
      <c r="B338" s="57"/>
    </row>
    <row r="339" spans="1:2" x14ac:dyDescent="0.2">
      <c r="A339" s="57"/>
      <c r="B339" s="57"/>
    </row>
    <row r="340" spans="1:2" x14ac:dyDescent="0.2">
      <c r="A340" s="57"/>
      <c r="B340" s="57"/>
    </row>
    <row r="341" spans="1:2" x14ac:dyDescent="0.2">
      <c r="A341" s="57"/>
      <c r="B341" s="57"/>
    </row>
    <row r="342" spans="1:2" x14ac:dyDescent="0.2">
      <c r="A342" s="57"/>
      <c r="B342" s="57"/>
    </row>
    <row r="343" spans="1:2" x14ac:dyDescent="0.2">
      <c r="A343" s="57"/>
      <c r="B343" s="57"/>
    </row>
    <row r="344" spans="1:2" x14ac:dyDescent="0.2">
      <c r="A344" s="57"/>
      <c r="B344" s="57"/>
    </row>
    <row r="345" spans="1:2" x14ac:dyDescent="0.2">
      <c r="A345" s="57"/>
      <c r="B345" s="57"/>
    </row>
    <row r="346" spans="1:2" x14ac:dyDescent="0.2">
      <c r="A346" s="57"/>
      <c r="B346" s="57"/>
    </row>
    <row r="347" spans="1:2" x14ac:dyDescent="0.2">
      <c r="A347" s="57"/>
      <c r="B347" s="57"/>
    </row>
    <row r="348" spans="1:2" x14ac:dyDescent="0.2">
      <c r="A348" s="57"/>
      <c r="B348" s="57"/>
    </row>
    <row r="349" spans="1:2" x14ac:dyDescent="0.2">
      <c r="A349" s="57"/>
      <c r="B349" s="57"/>
    </row>
    <row r="350" spans="1:2" x14ac:dyDescent="0.2">
      <c r="A350" s="57"/>
      <c r="B350" s="57"/>
    </row>
    <row r="351" spans="1:2" x14ac:dyDescent="0.2">
      <c r="A351" s="57"/>
      <c r="B351" s="57"/>
    </row>
    <row r="352" spans="1:2" x14ac:dyDescent="0.2">
      <c r="A352" s="57"/>
      <c r="B352" s="57"/>
    </row>
    <row r="353" spans="1:2" x14ac:dyDescent="0.2">
      <c r="A353" s="57"/>
      <c r="B353" s="57"/>
    </row>
    <row r="354" spans="1:2" x14ac:dyDescent="0.2">
      <c r="A354" s="57"/>
      <c r="B354" s="57"/>
    </row>
    <row r="355" spans="1:2" x14ac:dyDescent="0.2">
      <c r="A355" s="57"/>
      <c r="B355" s="57"/>
    </row>
    <row r="356" spans="1:2" x14ac:dyDescent="0.2">
      <c r="A356" s="57"/>
      <c r="B356" s="57"/>
    </row>
    <row r="357" spans="1:2" x14ac:dyDescent="0.2">
      <c r="A357" s="57"/>
      <c r="B357" s="57"/>
    </row>
    <row r="358" spans="1:2" x14ac:dyDescent="0.2">
      <c r="A358" s="57"/>
      <c r="B358" s="57"/>
    </row>
    <row r="359" spans="1:2" x14ac:dyDescent="0.2">
      <c r="A359" s="57"/>
      <c r="B359" s="57"/>
    </row>
    <row r="360" spans="1:2" x14ac:dyDescent="0.2">
      <c r="A360" s="57"/>
      <c r="B360" s="57"/>
    </row>
    <row r="361" spans="1:2" x14ac:dyDescent="0.2">
      <c r="A361" s="57"/>
      <c r="B361" s="57"/>
    </row>
    <row r="362" spans="1:2" x14ac:dyDescent="0.2">
      <c r="A362" s="57"/>
      <c r="B362" s="57"/>
    </row>
    <row r="363" spans="1:2" x14ac:dyDescent="0.2">
      <c r="A363" s="57"/>
      <c r="B363" s="57"/>
    </row>
    <row r="364" spans="1:2" x14ac:dyDescent="0.2">
      <c r="A364" s="57"/>
      <c r="B364" s="57"/>
    </row>
    <row r="365" spans="1:2" x14ac:dyDescent="0.2">
      <c r="A365" s="57"/>
      <c r="B365" s="57"/>
    </row>
    <row r="366" spans="1:2" x14ac:dyDescent="0.2">
      <c r="A366" s="57"/>
      <c r="B366" s="57"/>
    </row>
    <row r="367" spans="1:2" x14ac:dyDescent="0.2">
      <c r="A367" s="57"/>
      <c r="B367" s="57"/>
    </row>
    <row r="368" spans="1:2" x14ac:dyDescent="0.2">
      <c r="A368" s="57"/>
      <c r="B368" s="57"/>
    </row>
    <row r="369" spans="1:2" x14ac:dyDescent="0.2">
      <c r="A369" s="57"/>
      <c r="B369" s="57"/>
    </row>
    <row r="370" spans="1:2" x14ac:dyDescent="0.2">
      <c r="A370" s="57"/>
      <c r="B370" s="57"/>
    </row>
    <row r="371" spans="1:2" x14ac:dyDescent="0.2">
      <c r="A371" s="57"/>
      <c r="B371" s="57"/>
    </row>
    <row r="372" spans="1:2" x14ac:dyDescent="0.2">
      <c r="A372" s="57"/>
      <c r="B372" s="57"/>
    </row>
    <row r="373" spans="1:2" x14ac:dyDescent="0.2">
      <c r="A373" s="57"/>
      <c r="B373" s="57"/>
    </row>
    <row r="374" spans="1:2" x14ac:dyDescent="0.2">
      <c r="A374" s="57"/>
      <c r="B374" s="57"/>
    </row>
    <row r="375" spans="1:2" x14ac:dyDescent="0.2">
      <c r="A375" s="57"/>
      <c r="B375" s="57"/>
    </row>
    <row r="376" spans="1:2" x14ac:dyDescent="0.2">
      <c r="A376" s="57"/>
      <c r="B376" s="57"/>
    </row>
    <row r="377" spans="1:2" x14ac:dyDescent="0.2">
      <c r="A377" s="57"/>
      <c r="B377" s="57"/>
    </row>
    <row r="378" spans="1:2" x14ac:dyDescent="0.2">
      <c r="A378" s="57"/>
      <c r="B378" s="57"/>
    </row>
    <row r="379" spans="1:2" x14ac:dyDescent="0.2">
      <c r="A379" s="57"/>
      <c r="B379" s="57"/>
    </row>
    <row r="380" spans="1:2" x14ac:dyDescent="0.2">
      <c r="A380" s="57"/>
      <c r="B380" s="57"/>
    </row>
    <row r="381" spans="1:2" x14ac:dyDescent="0.2">
      <c r="A381" s="57"/>
      <c r="B381" s="57"/>
    </row>
    <row r="382" spans="1:2" x14ac:dyDescent="0.2">
      <c r="A382" s="57"/>
      <c r="B382" s="57"/>
    </row>
    <row r="383" spans="1:2" x14ac:dyDescent="0.2">
      <c r="A383" s="57"/>
      <c r="B383" s="57"/>
    </row>
    <row r="384" spans="1:2" x14ac:dyDescent="0.2">
      <c r="A384" s="57"/>
      <c r="B384" s="57"/>
    </row>
    <row r="385" spans="1:2" x14ac:dyDescent="0.2">
      <c r="A385" s="57"/>
      <c r="B385" s="57"/>
    </row>
    <row r="386" spans="1:2" x14ac:dyDescent="0.2">
      <c r="A386" s="57"/>
      <c r="B386" s="57"/>
    </row>
    <row r="387" spans="1:2" x14ac:dyDescent="0.2">
      <c r="A387" s="57"/>
      <c r="B387" s="57"/>
    </row>
    <row r="388" spans="1:2" x14ac:dyDescent="0.2">
      <c r="A388" s="57"/>
      <c r="B388" s="57"/>
    </row>
    <row r="389" spans="1:2" x14ac:dyDescent="0.2">
      <c r="A389" s="57"/>
      <c r="B389" s="57"/>
    </row>
    <row r="390" spans="1:2" x14ac:dyDescent="0.2">
      <c r="A390" s="57"/>
      <c r="B390" s="57"/>
    </row>
    <row r="391" spans="1:2" x14ac:dyDescent="0.2">
      <c r="A391" s="57"/>
      <c r="B391" s="57"/>
    </row>
    <row r="392" spans="1:2" x14ac:dyDescent="0.2">
      <c r="A392" s="57"/>
      <c r="B392" s="57"/>
    </row>
    <row r="393" spans="1:2" x14ac:dyDescent="0.2">
      <c r="A393" s="57"/>
      <c r="B393" s="57"/>
    </row>
    <row r="394" spans="1:2" x14ac:dyDescent="0.2">
      <c r="A394" s="57"/>
      <c r="B394" s="57"/>
    </row>
    <row r="395" spans="1:2" x14ac:dyDescent="0.2">
      <c r="A395" s="57"/>
      <c r="B395" s="57"/>
    </row>
    <row r="396" spans="1:2" x14ac:dyDescent="0.2">
      <c r="A396" s="57"/>
      <c r="B396" s="57"/>
    </row>
    <row r="397" spans="1:2" x14ac:dyDescent="0.2">
      <c r="A397" s="57"/>
      <c r="B397" s="57"/>
    </row>
    <row r="398" spans="1:2" x14ac:dyDescent="0.2">
      <c r="A398" s="57"/>
      <c r="B398" s="57"/>
    </row>
    <row r="399" spans="1:2" x14ac:dyDescent="0.2">
      <c r="A399" s="57"/>
      <c r="B399" s="57"/>
    </row>
    <row r="400" spans="1:2" x14ac:dyDescent="0.2">
      <c r="A400" s="57"/>
      <c r="B400" s="57"/>
    </row>
    <row r="401" spans="1:2" x14ac:dyDescent="0.2">
      <c r="A401" s="57"/>
      <c r="B401" s="57"/>
    </row>
    <row r="402" spans="1:2" x14ac:dyDescent="0.2">
      <c r="A402" s="57"/>
      <c r="B402" s="57"/>
    </row>
    <row r="403" spans="1:2" x14ac:dyDescent="0.2">
      <c r="A403" s="57"/>
      <c r="B403" s="57"/>
    </row>
    <row r="404" spans="1:2" x14ac:dyDescent="0.2">
      <c r="A404" s="57"/>
      <c r="B404" s="57"/>
    </row>
    <row r="405" spans="1:2" x14ac:dyDescent="0.2">
      <c r="A405" s="57"/>
      <c r="B405" s="57"/>
    </row>
    <row r="406" spans="1:2" x14ac:dyDescent="0.2">
      <c r="A406" s="57"/>
      <c r="B406" s="57"/>
    </row>
    <row r="407" spans="1:2" x14ac:dyDescent="0.2">
      <c r="A407" s="57"/>
      <c r="B407" s="57"/>
    </row>
    <row r="408" spans="1:2" x14ac:dyDescent="0.2">
      <c r="A408" s="57"/>
      <c r="B408" s="57"/>
    </row>
    <row r="409" spans="1:2" x14ac:dyDescent="0.2">
      <c r="A409" s="57"/>
      <c r="B409" s="57"/>
    </row>
    <row r="410" spans="1:2" x14ac:dyDescent="0.2">
      <c r="A410" s="57"/>
      <c r="B410" s="57"/>
    </row>
    <row r="411" spans="1:2" x14ac:dyDescent="0.2">
      <c r="A411" s="57"/>
      <c r="B411" s="57"/>
    </row>
    <row r="412" spans="1:2" x14ac:dyDescent="0.2">
      <c r="A412" s="57"/>
      <c r="B412" s="57"/>
    </row>
    <row r="413" spans="1:2" x14ac:dyDescent="0.2">
      <c r="A413" s="57"/>
      <c r="B413" s="57"/>
    </row>
    <row r="414" spans="1:2" x14ac:dyDescent="0.2">
      <c r="A414" s="57"/>
      <c r="B414" s="57"/>
    </row>
    <row r="415" spans="1:2" x14ac:dyDescent="0.2">
      <c r="A415" s="57"/>
      <c r="B415" s="57"/>
    </row>
    <row r="416" spans="1:2" x14ac:dyDescent="0.2">
      <c r="A416" s="57"/>
      <c r="B416" s="57"/>
    </row>
    <row r="417" spans="1:2" x14ac:dyDescent="0.2">
      <c r="A417" s="57"/>
      <c r="B417" s="57"/>
    </row>
    <row r="418" spans="1:2" x14ac:dyDescent="0.2">
      <c r="A418" s="57"/>
      <c r="B418" s="57"/>
    </row>
    <row r="419" spans="1:2" x14ac:dyDescent="0.2">
      <c r="A419" s="57"/>
      <c r="B419" s="57"/>
    </row>
    <row r="420" spans="1:2" x14ac:dyDescent="0.2">
      <c r="A420" s="57"/>
      <c r="B420" s="57"/>
    </row>
    <row r="421" spans="1:2" x14ac:dyDescent="0.2">
      <c r="A421" s="57"/>
      <c r="B421" s="57"/>
    </row>
    <row r="422" spans="1:2" x14ac:dyDescent="0.2">
      <c r="A422" s="57"/>
      <c r="B422" s="57"/>
    </row>
    <row r="423" spans="1:2" x14ac:dyDescent="0.2">
      <c r="A423" s="57"/>
      <c r="B423" s="57"/>
    </row>
    <row r="424" spans="1:2" x14ac:dyDescent="0.2">
      <c r="A424" s="57"/>
      <c r="B424" s="57"/>
    </row>
    <row r="425" spans="1:2" x14ac:dyDescent="0.2">
      <c r="A425" s="57"/>
      <c r="B425" s="57"/>
    </row>
    <row r="426" spans="1:2" x14ac:dyDescent="0.2">
      <c r="A426" s="57"/>
      <c r="B426" s="57"/>
    </row>
    <row r="427" spans="1:2" x14ac:dyDescent="0.2">
      <c r="A427" s="57"/>
      <c r="B427" s="57"/>
    </row>
    <row r="428" spans="1:2" x14ac:dyDescent="0.2">
      <c r="A428" s="57"/>
      <c r="B428" s="57"/>
    </row>
    <row r="429" spans="1:2" x14ac:dyDescent="0.2">
      <c r="A429" s="57"/>
      <c r="B429" s="57"/>
    </row>
    <row r="430" spans="1:2" x14ac:dyDescent="0.2">
      <c r="A430" s="57"/>
      <c r="B430" s="57"/>
    </row>
    <row r="431" spans="1:2" x14ac:dyDescent="0.2">
      <c r="A431" s="57"/>
      <c r="B431" s="57"/>
    </row>
    <row r="432" spans="1:2" x14ac:dyDescent="0.2">
      <c r="A432" s="57"/>
      <c r="B432" s="57"/>
    </row>
    <row r="433" spans="1:2" x14ac:dyDescent="0.2">
      <c r="A433" s="57"/>
      <c r="B433" s="57"/>
    </row>
    <row r="434" spans="1:2" x14ac:dyDescent="0.2">
      <c r="A434" s="57"/>
      <c r="B434" s="57"/>
    </row>
    <row r="435" spans="1:2" x14ac:dyDescent="0.2">
      <c r="A435" s="57"/>
      <c r="B435" s="57"/>
    </row>
    <row r="436" spans="1:2" x14ac:dyDescent="0.2">
      <c r="A436" s="57"/>
      <c r="B436" s="57"/>
    </row>
    <row r="437" spans="1:2" x14ac:dyDescent="0.2">
      <c r="A437" s="57"/>
      <c r="B437" s="57"/>
    </row>
    <row r="438" spans="1:2" x14ac:dyDescent="0.2">
      <c r="A438" s="57"/>
      <c r="B438" s="57"/>
    </row>
    <row r="439" spans="1:2" x14ac:dyDescent="0.2">
      <c r="A439" s="57"/>
      <c r="B439" s="57"/>
    </row>
    <row r="440" spans="1:2" x14ac:dyDescent="0.2">
      <c r="A440" s="57"/>
      <c r="B440" s="57"/>
    </row>
    <row r="441" spans="1:2" x14ac:dyDescent="0.2">
      <c r="A441" s="57"/>
      <c r="B441" s="57"/>
    </row>
    <row r="442" spans="1:2" x14ac:dyDescent="0.2">
      <c r="A442" s="57"/>
      <c r="B442" s="57"/>
    </row>
    <row r="443" spans="1:2" x14ac:dyDescent="0.2">
      <c r="A443" s="57"/>
      <c r="B443" s="57"/>
    </row>
    <row r="444" spans="1:2" x14ac:dyDescent="0.2">
      <c r="A444" s="57"/>
      <c r="B444" s="57"/>
    </row>
    <row r="445" spans="1:2" x14ac:dyDescent="0.2">
      <c r="A445" s="57"/>
      <c r="B445" s="57"/>
    </row>
    <row r="446" spans="1:2" x14ac:dyDescent="0.2">
      <c r="A446" s="57"/>
      <c r="B446" s="57"/>
    </row>
    <row r="447" spans="1:2" x14ac:dyDescent="0.2">
      <c r="A447" s="57"/>
      <c r="B447" s="57"/>
    </row>
    <row r="448" spans="1:2" x14ac:dyDescent="0.2">
      <c r="A448" s="57"/>
      <c r="B448" s="57"/>
    </row>
    <row r="449" spans="1:2" x14ac:dyDescent="0.2">
      <c r="A449" s="57"/>
      <c r="B449" s="57"/>
    </row>
    <row r="450" spans="1:2" x14ac:dyDescent="0.2">
      <c r="A450" s="57"/>
      <c r="B450" s="57"/>
    </row>
    <row r="451" spans="1:2" x14ac:dyDescent="0.2">
      <c r="A451" s="57"/>
      <c r="B451" s="57"/>
    </row>
    <row r="452" spans="1:2" x14ac:dyDescent="0.2">
      <c r="A452" s="57"/>
      <c r="B452" s="57"/>
    </row>
    <row r="453" spans="1:2" x14ac:dyDescent="0.2">
      <c r="A453" s="57"/>
      <c r="B453" s="57"/>
    </row>
    <row r="454" spans="1:2" x14ac:dyDescent="0.2">
      <c r="A454" s="57"/>
      <c r="B454" s="57"/>
    </row>
    <row r="455" spans="1:2" x14ac:dyDescent="0.2">
      <c r="A455" s="57"/>
      <c r="B455" s="57"/>
    </row>
    <row r="456" spans="1:2" x14ac:dyDescent="0.2">
      <c r="A456" s="57"/>
      <c r="B456" s="57"/>
    </row>
    <row r="457" spans="1:2" x14ac:dyDescent="0.2">
      <c r="A457" s="57"/>
      <c r="B457" s="57"/>
    </row>
    <row r="458" spans="1:2" x14ac:dyDescent="0.2">
      <c r="A458" s="57"/>
      <c r="B458" s="57"/>
    </row>
    <row r="459" spans="1:2" x14ac:dyDescent="0.2">
      <c r="A459" s="57"/>
      <c r="B459" s="57"/>
    </row>
    <row r="460" spans="1:2" x14ac:dyDescent="0.2">
      <c r="A460" s="57"/>
      <c r="B460" s="57"/>
    </row>
    <row r="461" spans="1:2" x14ac:dyDescent="0.2">
      <c r="A461" s="57"/>
      <c r="B461" s="57"/>
    </row>
    <row r="462" spans="1:2" x14ac:dyDescent="0.2">
      <c r="A462" s="57"/>
      <c r="B462" s="57"/>
    </row>
    <row r="463" spans="1:2" x14ac:dyDescent="0.2">
      <c r="A463" s="57"/>
      <c r="B463" s="57"/>
    </row>
    <row r="464" spans="1:2" x14ac:dyDescent="0.2">
      <c r="A464" s="57"/>
      <c r="B464" s="57"/>
    </row>
    <row r="465" spans="1:2" x14ac:dyDescent="0.2">
      <c r="A465" s="57"/>
      <c r="B465" s="57"/>
    </row>
    <row r="466" spans="1:2" x14ac:dyDescent="0.2">
      <c r="A466" s="57"/>
      <c r="B466" s="57"/>
    </row>
    <row r="467" spans="1:2" x14ac:dyDescent="0.2">
      <c r="A467" s="57"/>
      <c r="B467" s="57"/>
    </row>
    <row r="468" spans="1:2" x14ac:dyDescent="0.2">
      <c r="A468" s="57"/>
      <c r="B468" s="57"/>
    </row>
    <row r="469" spans="1:2" x14ac:dyDescent="0.2">
      <c r="A469" s="57"/>
      <c r="B469" s="57"/>
    </row>
    <row r="470" spans="1:2" x14ac:dyDescent="0.2">
      <c r="A470" s="57"/>
      <c r="B470" s="57"/>
    </row>
    <row r="471" spans="1:2" x14ac:dyDescent="0.2">
      <c r="A471" s="57"/>
      <c r="B471" s="57"/>
    </row>
    <row r="472" spans="1:2" x14ac:dyDescent="0.2">
      <c r="A472" s="57"/>
      <c r="B472" s="57"/>
    </row>
    <row r="473" spans="1:2" x14ac:dyDescent="0.2">
      <c r="A473" s="57"/>
      <c r="B473" s="57"/>
    </row>
    <row r="474" spans="1:2" x14ac:dyDescent="0.2">
      <c r="A474" s="57"/>
      <c r="B474" s="57"/>
    </row>
    <row r="475" spans="1:2" x14ac:dyDescent="0.2">
      <c r="A475" s="57"/>
      <c r="B475" s="57"/>
    </row>
    <row r="476" spans="1:2" x14ac:dyDescent="0.2">
      <c r="A476" s="57"/>
      <c r="B476" s="57"/>
    </row>
    <row r="477" spans="1:2" x14ac:dyDescent="0.2">
      <c r="A477" s="57"/>
      <c r="B477" s="57"/>
    </row>
    <row r="478" spans="1:2" x14ac:dyDescent="0.2">
      <c r="A478" s="57"/>
      <c r="B478" s="57"/>
    </row>
    <row r="479" spans="1:2" x14ac:dyDescent="0.2">
      <c r="A479" s="57"/>
      <c r="B479" s="57"/>
    </row>
    <row r="480" spans="1:2" x14ac:dyDescent="0.2">
      <c r="A480" s="57"/>
      <c r="B480" s="57"/>
    </row>
    <row r="481" spans="1:2" x14ac:dyDescent="0.2">
      <c r="A481" s="57"/>
      <c r="B481" s="57"/>
    </row>
    <row r="482" spans="1:2" x14ac:dyDescent="0.2">
      <c r="A482" s="57"/>
      <c r="B482" s="57"/>
    </row>
    <row r="483" spans="1:2" x14ac:dyDescent="0.2">
      <c r="A483" s="57"/>
      <c r="B483" s="57"/>
    </row>
    <row r="484" spans="1:2" x14ac:dyDescent="0.2">
      <c r="A484" s="57"/>
      <c r="B484" s="57"/>
    </row>
    <row r="485" spans="1:2" x14ac:dyDescent="0.2">
      <c r="A485" s="57"/>
      <c r="B485" s="57"/>
    </row>
    <row r="486" spans="1:2" x14ac:dyDescent="0.2">
      <c r="A486" s="57"/>
      <c r="B486" s="57"/>
    </row>
    <row r="487" spans="1:2" x14ac:dyDescent="0.2">
      <c r="A487" s="57"/>
      <c r="B487" s="57"/>
    </row>
    <row r="488" spans="1:2" x14ac:dyDescent="0.2">
      <c r="A488" s="57"/>
      <c r="B488" s="57"/>
    </row>
    <row r="489" spans="1:2" x14ac:dyDescent="0.2">
      <c r="A489" s="57"/>
      <c r="B489" s="57"/>
    </row>
    <row r="490" spans="1:2" x14ac:dyDescent="0.2">
      <c r="A490" s="57"/>
      <c r="B490" s="57"/>
    </row>
    <row r="491" spans="1:2" x14ac:dyDescent="0.2">
      <c r="A491" s="57"/>
      <c r="B491" s="57"/>
    </row>
    <row r="492" spans="1:2" x14ac:dyDescent="0.2">
      <c r="A492" s="57"/>
      <c r="B492" s="57"/>
    </row>
    <row r="493" spans="1:2" x14ac:dyDescent="0.2">
      <c r="A493" s="57"/>
      <c r="B493" s="57"/>
    </row>
    <row r="494" spans="1:2" x14ac:dyDescent="0.2">
      <c r="A494" s="57"/>
      <c r="B494" s="57"/>
    </row>
    <row r="495" spans="1:2" x14ac:dyDescent="0.2">
      <c r="A495" s="57"/>
      <c r="B495" s="57"/>
    </row>
    <row r="496" spans="1:2" x14ac:dyDescent="0.2">
      <c r="A496" s="57"/>
      <c r="B496" s="57"/>
    </row>
    <row r="497" spans="1:2" x14ac:dyDescent="0.2">
      <c r="A497" s="57"/>
      <c r="B497" s="57"/>
    </row>
    <row r="498" spans="1:2" x14ac:dyDescent="0.2">
      <c r="A498" s="57"/>
      <c r="B498" s="57"/>
    </row>
    <row r="499" spans="1:2" x14ac:dyDescent="0.2">
      <c r="A499" s="57"/>
      <c r="B499" s="57"/>
    </row>
    <row r="500" spans="1:2" x14ac:dyDescent="0.2">
      <c r="A500" s="57"/>
      <c r="B500" s="57"/>
    </row>
    <row r="501" spans="1:2" x14ac:dyDescent="0.2">
      <c r="A501" s="57"/>
      <c r="B501" s="57"/>
    </row>
    <row r="502" spans="1:2" x14ac:dyDescent="0.2">
      <c r="A502" s="57"/>
      <c r="B502" s="57"/>
    </row>
    <row r="503" spans="1:2" x14ac:dyDescent="0.2">
      <c r="A503" s="57"/>
      <c r="B503" s="57"/>
    </row>
    <row r="504" spans="1:2" x14ac:dyDescent="0.2">
      <c r="A504" s="57"/>
      <c r="B504" s="57"/>
    </row>
    <row r="505" spans="1:2" x14ac:dyDescent="0.2">
      <c r="A505" s="57"/>
      <c r="B505" s="57"/>
    </row>
    <row r="506" spans="1:2" x14ac:dyDescent="0.2">
      <c r="A506" s="57"/>
      <c r="B506" s="57"/>
    </row>
    <row r="507" spans="1:2" x14ac:dyDescent="0.2">
      <c r="A507" s="57"/>
      <c r="B507" s="57"/>
    </row>
    <row r="508" spans="1:2" x14ac:dyDescent="0.2">
      <c r="A508" s="57"/>
      <c r="B508" s="57"/>
    </row>
    <row r="509" spans="1:2" x14ac:dyDescent="0.2">
      <c r="A509" s="57"/>
      <c r="B509" s="57"/>
    </row>
    <row r="510" spans="1:2" x14ac:dyDescent="0.2">
      <c r="A510" s="57"/>
      <c r="B510" s="57"/>
    </row>
    <row r="511" spans="1:2" x14ac:dyDescent="0.2">
      <c r="A511" s="57"/>
      <c r="B511" s="57"/>
    </row>
    <row r="512" spans="1:2" x14ac:dyDescent="0.2">
      <c r="A512" s="57"/>
      <c r="B512" s="57"/>
    </row>
    <row r="513" spans="1:2" x14ac:dyDescent="0.2">
      <c r="A513" s="57"/>
      <c r="B513" s="57"/>
    </row>
    <row r="514" spans="1:2" x14ac:dyDescent="0.2">
      <c r="A514" s="57"/>
      <c r="B514" s="57"/>
    </row>
    <row r="515" spans="1:2" x14ac:dyDescent="0.2">
      <c r="A515" s="57"/>
      <c r="B515" s="57"/>
    </row>
    <row r="516" spans="1:2" x14ac:dyDescent="0.2">
      <c r="A516" s="57"/>
      <c r="B516" s="57"/>
    </row>
    <row r="517" spans="1:2" x14ac:dyDescent="0.2">
      <c r="A517" s="57"/>
      <c r="B517" s="57"/>
    </row>
    <row r="518" spans="1:2" x14ac:dyDescent="0.2">
      <c r="A518" s="57"/>
      <c r="B518" s="57"/>
    </row>
    <row r="519" spans="1:2" x14ac:dyDescent="0.2">
      <c r="A519" s="57"/>
      <c r="B519" s="57"/>
    </row>
    <row r="520" spans="1:2" x14ac:dyDescent="0.2">
      <c r="A520" s="57"/>
      <c r="B520" s="57"/>
    </row>
    <row r="521" spans="1:2" x14ac:dyDescent="0.2">
      <c r="A521" s="57"/>
      <c r="B521" s="57"/>
    </row>
    <row r="522" spans="1:2" x14ac:dyDescent="0.2">
      <c r="A522" s="57"/>
      <c r="B522" s="57"/>
    </row>
    <row r="523" spans="1:2" x14ac:dyDescent="0.2">
      <c r="A523" s="57"/>
      <c r="B523" s="57"/>
    </row>
    <row r="524" spans="1:2" x14ac:dyDescent="0.2">
      <c r="A524" s="57"/>
      <c r="B524" s="57"/>
    </row>
    <row r="525" spans="1:2" x14ac:dyDescent="0.2">
      <c r="A525" s="57"/>
      <c r="B525" s="57"/>
    </row>
    <row r="526" spans="1:2" x14ac:dyDescent="0.2">
      <c r="A526" s="57"/>
      <c r="B526" s="57"/>
    </row>
    <row r="527" spans="1:2" x14ac:dyDescent="0.2">
      <c r="A527" s="57"/>
      <c r="B527" s="57"/>
    </row>
    <row r="528" spans="1:2" x14ac:dyDescent="0.2">
      <c r="A528" s="57"/>
      <c r="B528" s="57"/>
    </row>
    <row r="529" spans="1:2" x14ac:dyDescent="0.2">
      <c r="A529" s="57"/>
      <c r="B529" s="57"/>
    </row>
    <row r="530" spans="1:2" x14ac:dyDescent="0.2">
      <c r="A530" s="57"/>
      <c r="B530" s="57"/>
    </row>
    <row r="531" spans="1:2" x14ac:dyDescent="0.2">
      <c r="A531" s="57"/>
      <c r="B531" s="57"/>
    </row>
    <row r="532" spans="1:2" x14ac:dyDescent="0.2">
      <c r="A532" s="57"/>
      <c r="B532" s="57"/>
    </row>
    <row r="533" spans="1:2" x14ac:dyDescent="0.2">
      <c r="A533" s="57"/>
      <c r="B533" s="57"/>
    </row>
    <row r="534" spans="1:2" x14ac:dyDescent="0.2">
      <c r="A534" s="57"/>
      <c r="B534" s="57"/>
    </row>
    <row r="535" spans="1:2" x14ac:dyDescent="0.2">
      <c r="A535" s="57"/>
      <c r="B535" s="57"/>
    </row>
    <row r="536" spans="1:2" x14ac:dyDescent="0.2">
      <c r="A536" s="57"/>
      <c r="B536" s="57"/>
    </row>
    <row r="537" spans="1:2" x14ac:dyDescent="0.2">
      <c r="A537" s="57"/>
      <c r="B537" s="57"/>
    </row>
    <row r="538" spans="1:2" x14ac:dyDescent="0.2">
      <c r="A538" s="57"/>
      <c r="B538" s="57"/>
    </row>
    <row r="539" spans="1:2" x14ac:dyDescent="0.2">
      <c r="A539" s="57"/>
      <c r="B539" s="57"/>
    </row>
    <row r="540" spans="1:2" x14ac:dyDescent="0.2">
      <c r="A540" s="57"/>
      <c r="B540" s="57"/>
    </row>
    <row r="541" spans="1:2" x14ac:dyDescent="0.2">
      <c r="A541" s="57"/>
      <c r="B541" s="57"/>
    </row>
    <row r="542" spans="1:2" x14ac:dyDescent="0.2">
      <c r="A542" s="57"/>
      <c r="B542" s="57"/>
    </row>
    <row r="543" spans="1:2" x14ac:dyDescent="0.2">
      <c r="A543" s="57"/>
      <c r="B543" s="57"/>
    </row>
    <row r="544" spans="1:2" x14ac:dyDescent="0.2">
      <c r="A544" s="57"/>
      <c r="B544" s="57"/>
    </row>
    <row r="545" spans="1:2" x14ac:dyDescent="0.2">
      <c r="A545" s="57"/>
      <c r="B545" s="57"/>
    </row>
    <row r="546" spans="1:2" x14ac:dyDescent="0.2">
      <c r="A546" s="57"/>
      <c r="B546" s="57"/>
    </row>
    <row r="547" spans="1:2" x14ac:dyDescent="0.2">
      <c r="A547" s="57"/>
      <c r="B547" s="57"/>
    </row>
    <row r="548" spans="1:2" x14ac:dyDescent="0.2">
      <c r="A548" s="57"/>
      <c r="B548" s="57"/>
    </row>
    <row r="549" spans="1:2" x14ac:dyDescent="0.2">
      <c r="A549" s="57"/>
      <c r="B549" s="57"/>
    </row>
    <row r="550" spans="1:2" x14ac:dyDescent="0.2">
      <c r="A550" s="57"/>
      <c r="B550" s="57"/>
    </row>
    <row r="551" spans="1:2" x14ac:dyDescent="0.2">
      <c r="A551" s="57"/>
      <c r="B551" s="57"/>
    </row>
    <row r="552" spans="1:2" x14ac:dyDescent="0.2">
      <c r="A552" s="57"/>
      <c r="B552" s="57"/>
    </row>
    <row r="553" spans="1:2" x14ac:dyDescent="0.2">
      <c r="A553" s="57"/>
      <c r="B553" s="57"/>
    </row>
    <row r="554" spans="1:2" x14ac:dyDescent="0.2">
      <c r="A554" s="57"/>
      <c r="B554" s="57"/>
    </row>
    <row r="555" spans="1:2" x14ac:dyDescent="0.2">
      <c r="A555" s="57"/>
      <c r="B555" s="57"/>
    </row>
    <row r="556" spans="1:2" x14ac:dyDescent="0.2">
      <c r="A556" s="57"/>
      <c r="B556" s="57"/>
    </row>
    <row r="557" spans="1:2" x14ac:dyDescent="0.2">
      <c r="A557" s="57"/>
      <c r="B557" s="57"/>
    </row>
    <row r="558" spans="1:2" x14ac:dyDescent="0.2">
      <c r="A558" s="57"/>
      <c r="B558" s="57"/>
    </row>
    <row r="559" spans="1:2" x14ac:dyDescent="0.2">
      <c r="A559" s="57"/>
      <c r="B559" s="57"/>
    </row>
    <row r="560" spans="1:2" x14ac:dyDescent="0.2">
      <c r="A560" s="57"/>
      <c r="B560" s="57"/>
    </row>
    <row r="561" spans="1:2" x14ac:dyDescent="0.2">
      <c r="A561" s="57"/>
      <c r="B561" s="57"/>
    </row>
    <row r="562" spans="1:2" x14ac:dyDescent="0.2">
      <c r="A562" s="57"/>
      <c r="B562" s="57"/>
    </row>
    <row r="563" spans="1:2" x14ac:dyDescent="0.2">
      <c r="A563" s="57"/>
      <c r="B563" s="57"/>
    </row>
    <row r="564" spans="1:2" x14ac:dyDescent="0.2">
      <c r="A564" s="57"/>
      <c r="B564" s="57"/>
    </row>
    <row r="565" spans="1:2" x14ac:dyDescent="0.2">
      <c r="A565" s="57"/>
      <c r="B565" s="57"/>
    </row>
    <row r="566" spans="1:2" x14ac:dyDescent="0.2">
      <c r="A566" s="57"/>
      <c r="B566" s="57"/>
    </row>
    <row r="567" spans="1:2" x14ac:dyDescent="0.2">
      <c r="A567" s="57"/>
      <c r="B567" s="57"/>
    </row>
    <row r="568" spans="1:2" x14ac:dyDescent="0.2">
      <c r="A568" s="57"/>
      <c r="B568" s="57"/>
    </row>
    <row r="569" spans="1:2" x14ac:dyDescent="0.2">
      <c r="A569" s="57"/>
      <c r="B569" s="57"/>
    </row>
    <row r="570" spans="1:2" x14ac:dyDescent="0.2">
      <c r="A570" s="57"/>
      <c r="B570" s="57"/>
    </row>
    <row r="571" spans="1:2" x14ac:dyDescent="0.2">
      <c r="A571" s="57"/>
      <c r="B571" s="57"/>
    </row>
    <row r="572" spans="1:2" x14ac:dyDescent="0.2">
      <c r="A572" s="57"/>
      <c r="B572" s="57"/>
    </row>
    <row r="573" spans="1:2" x14ac:dyDescent="0.2">
      <c r="A573" s="57"/>
      <c r="B573" s="57"/>
    </row>
    <row r="574" spans="1:2" x14ac:dyDescent="0.2">
      <c r="A574" s="57"/>
      <c r="B574" s="57"/>
    </row>
    <row r="575" spans="1:2" x14ac:dyDescent="0.2">
      <c r="A575" s="57"/>
      <c r="B575" s="57"/>
    </row>
    <row r="576" spans="1:2" x14ac:dyDescent="0.2">
      <c r="A576" s="57"/>
      <c r="B576" s="57"/>
    </row>
    <row r="577" spans="1:2" x14ac:dyDescent="0.2">
      <c r="A577" s="57"/>
      <c r="B577" s="57"/>
    </row>
    <row r="578" spans="1:2" x14ac:dyDescent="0.2">
      <c r="A578" s="57"/>
      <c r="B578" s="57"/>
    </row>
    <row r="579" spans="1:2" x14ac:dyDescent="0.2">
      <c r="A579" s="57"/>
      <c r="B579" s="57"/>
    </row>
    <row r="580" spans="1:2" x14ac:dyDescent="0.2">
      <c r="A580" s="57"/>
      <c r="B580" s="57"/>
    </row>
    <row r="581" spans="1:2" x14ac:dyDescent="0.2">
      <c r="A581" s="57"/>
      <c r="B581" s="57"/>
    </row>
    <row r="582" spans="1:2" x14ac:dyDescent="0.2">
      <c r="A582" s="57"/>
      <c r="B582" s="57"/>
    </row>
    <row r="583" spans="1:2" x14ac:dyDescent="0.2">
      <c r="A583" s="57"/>
      <c r="B583" s="57"/>
    </row>
    <row r="584" spans="1:2" x14ac:dyDescent="0.2">
      <c r="A584" s="57"/>
      <c r="B584" s="57"/>
    </row>
    <row r="585" spans="1:2" x14ac:dyDescent="0.2">
      <c r="A585" s="57"/>
      <c r="B585" s="57"/>
    </row>
    <row r="586" spans="1:2" x14ac:dyDescent="0.2">
      <c r="A586" s="57"/>
      <c r="B586" s="57"/>
    </row>
    <row r="587" spans="1:2" x14ac:dyDescent="0.2">
      <c r="A587" s="57"/>
      <c r="B587" s="57"/>
    </row>
    <row r="588" spans="1:2" x14ac:dyDescent="0.2">
      <c r="A588" s="57"/>
      <c r="B588" s="57"/>
    </row>
    <row r="589" spans="1:2" x14ac:dyDescent="0.2">
      <c r="A589" s="57"/>
      <c r="B589" s="57"/>
    </row>
    <row r="590" spans="1:2" x14ac:dyDescent="0.2">
      <c r="A590" s="57"/>
      <c r="B590" s="57"/>
    </row>
    <row r="591" spans="1:2" x14ac:dyDescent="0.2">
      <c r="A591" s="57"/>
      <c r="B591" s="57"/>
    </row>
    <row r="592" spans="1:2" x14ac:dyDescent="0.2">
      <c r="A592" s="57"/>
      <c r="B592" s="57"/>
    </row>
    <row r="593" spans="1:2" x14ac:dyDescent="0.2">
      <c r="A593" s="57"/>
      <c r="B593" s="57"/>
    </row>
    <row r="594" spans="1:2" x14ac:dyDescent="0.2">
      <c r="A594" s="57"/>
      <c r="B594" s="57"/>
    </row>
    <row r="595" spans="1:2" x14ac:dyDescent="0.2">
      <c r="A595" s="57"/>
      <c r="B595" s="57"/>
    </row>
    <row r="596" spans="1:2" x14ac:dyDescent="0.2">
      <c r="A596" s="57"/>
      <c r="B596" s="57"/>
    </row>
    <row r="597" spans="1:2" x14ac:dyDescent="0.2">
      <c r="A597" s="57"/>
      <c r="B597" s="57"/>
    </row>
    <row r="598" spans="1:2" x14ac:dyDescent="0.2">
      <c r="A598" s="57"/>
      <c r="B598" s="57"/>
    </row>
    <row r="599" spans="1:2" x14ac:dyDescent="0.2">
      <c r="A599" s="57"/>
      <c r="B599" s="57"/>
    </row>
    <row r="600" spans="1:2" x14ac:dyDescent="0.2">
      <c r="A600" s="57"/>
      <c r="B600" s="57"/>
    </row>
    <row r="601" spans="1:2" x14ac:dyDescent="0.2">
      <c r="A601" s="57"/>
      <c r="B601" s="57"/>
    </row>
    <row r="602" spans="1:2" x14ac:dyDescent="0.2">
      <c r="A602" s="57"/>
      <c r="B602" s="57"/>
    </row>
    <row r="603" spans="1:2" x14ac:dyDescent="0.2">
      <c r="A603" s="57"/>
      <c r="B603" s="57"/>
    </row>
    <row r="604" spans="1:2" x14ac:dyDescent="0.2">
      <c r="A604" s="57"/>
      <c r="B604" s="57"/>
    </row>
    <row r="605" spans="1:2" x14ac:dyDescent="0.2">
      <c r="A605" s="57"/>
      <c r="B605" s="57"/>
    </row>
    <row r="606" spans="1:2" x14ac:dyDescent="0.2">
      <c r="A606" s="57"/>
      <c r="B606" s="57"/>
    </row>
    <row r="607" spans="1:2" x14ac:dyDescent="0.2">
      <c r="A607" s="57"/>
      <c r="B607" s="57"/>
    </row>
    <row r="608" spans="1:2" x14ac:dyDescent="0.2">
      <c r="A608" s="57"/>
      <c r="B608" s="57"/>
    </row>
    <row r="609" spans="1:2" x14ac:dyDescent="0.2">
      <c r="A609" s="57"/>
      <c r="B609" s="57"/>
    </row>
    <row r="610" spans="1:2" x14ac:dyDescent="0.2">
      <c r="A610" s="57"/>
      <c r="B610" s="57"/>
    </row>
    <row r="611" spans="1:2" x14ac:dyDescent="0.2">
      <c r="A611" s="57"/>
      <c r="B611" s="57"/>
    </row>
    <row r="612" spans="1:2" x14ac:dyDescent="0.2">
      <c r="A612" s="57"/>
      <c r="B612" s="57"/>
    </row>
    <row r="613" spans="1:2" x14ac:dyDescent="0.2">
      <c r="A613" s="57"/>
      <c r="B613" s="57"/>
    </row>
    <row r="614" spans="1:2" x14ac:dyDescent="0.2">
      <c r="A614" s="57"/>
      <c r="B614" s="57"/>
    </row>
    <row r="615" spans="1:2" x14ac:dyDescent="0.2">
      <c r="A615" s="57"/>
      <c r="B615" s="57"/>
    </row>
    <row r="616" spans="1:2" x14ac:dyDescent="0.2">
      <c r="A616" s="57"/>
      <c r="B616" s="57"/>
    </row>
    <row r="617" spans="1:2" x14ac:dyDescent="0.2">
      <c r="A617" s="57"/>
      <c r="B617" s="57"/>
    </row>
    <row r="618" spans="1:2" x14ac:dyDescent="0.2">
      <c r="A618" s="57"/>
      <c r="B618" s="57"/>
    </row>
    <row r="619" spans="1:2" x14ac:dyDescent="0.2">
      <c r="A619" s="57"/>
      <c r="B619" s="57"/>
    </row>
    <row r="620" spans="1:2" x14ac:dyDescent="0.2">
      <c r="A620" s="57"/>
      <c r="B620" s="57"/>
    </row>
    <row r="621" spans="1:2" x14ac:dyDescent="0.2">
      <c r="A621" s="57"/>
      <c r="B621" s="57"/>
    </row>
    <row r="622" spans="1:2" x14ac:dyDescent="0.2">
      <c r="A622" s="57"/>
      <c r="B622" s="57"/>
    </row>
    <row r="623" spans="1:2" x14ac:dyDescent="0.2">
      <c r="A623" s="57"/>
      <c r="B623" s="57"/>
    </row>
    <row r="624" spans="1:2" x14ac:dyDescent="0.2">
      <c r="A624" s="57"/>
      <c r="B624" s="57"/>
    </row>
    <row r="625" spans="1:2" x14ac:dyDescent="0.2">
      <c r="A625" s="57"/>
      <c r="B625" s="57"/>
    </row>
    <row r="626" spans="1:2" x14ac:dyDescent="0.2">
      <c r="A626" s="57"/>
      <c r="B626" s="57"/>
    </row>
    <row r="627" spans="1:2" x14ac:dyDescent="0.2">
      <c r="A627" s="57"/>
      <c r="B627" s="57"/>
    </row>
    <row r="628" spans="1:2" x14ac:dyDescent="0.2">
      <c r="A628" s="57"/>
      <c r="B628" s="57"/>
    </row>
    <row r="629" spans="1:2" x14ac:dyDescent="0.2">
      <c r="A629" s="57"/>
      <c r="B629" s="57"/>
    </row>
    <row r="630" spans="1:2" x14ac:dyDescent="0.2">
      <c r="A630" s="57"/>
      <c r="B630" s="57"/>
    </row>
    <row r="631" spans="1:2" x14ac:dyDescent="0.2">
      <c r="A631" s="57"/>
      <c r="B631" s="57"/>
    </row>
    <row r="632" spans="1:2" x14ac:dyDescent="0.2">
      <c r="A632" s="57"/>
      <c r="B632" s="57"/>
    </row>
    <row r="633" spans="1:2" x14ac:dyDescent="0.2">
      <c r="A633" s="57"/>
      <c r="B633" s="57"/>
    </row>
    <row r="634" spans="1:2" x14ac:dyDescent="0.2">
      <c r="A634" s="57"/>
      <c r="B634" s="57"/>
    </row>
    <row r="635" spans="1:2" x14ac:dyDescent="0.2">
      <c r="A635" s="57"/>
      <c r="B635" s="57"/>
    </row>
    <row r="636" spans="1:2" x14ac:dyDescent="0.2">
      <c r="A636" s="57"/>
      <c r="B636" s="57"/>
    </row>
    <row r="637" spans="1:2" x14ac:dyDescent="0.2">
      <c r="A637" s="57"/>
      <c r="B637" s="57"/>
    </row>
    <row r="638" spans="1:2" x14ac:dyDescent="0.2">
      <c r="A638" s="57"/>
      <c r="B638" s="57"/>
    </row>
    <row r="639" spans="1:2" x14ac:dyDescent="0.2">
      <c r="A639" s="57"/>
      <c r="B639" s="57"/>
    </row>
    <row r="640" spans="1:2" x14ac:dyDescent="0.2">
      <c r="A640" s="57"/>
      <c r="B640" s="57"/>
    </row>
    <row r="641" spans="1:2" x14ac:dyDescent="0.2">
      <c r="A641" s="57"/>
      <c r="B641" s="57"/>
    </row>
    <row r="642" spans="1:2" x14ac:dyDescent="0.2">
      <c r="A642" s="57"/>
      <c r="B642" s="57"/>
    </row>
    <row r="643" spans="1:2" x14ac:dyDescent="0.2">
      <c r="A643" s="57"/>
      <c r="B643" s="57"/>
    </row>
    <row r="644" spans="1:2" x14ac:dyDescent="0.2">
      <c r="A644" s="57"/>
      <c r="B644" s="57"/>
    </row>
    <row r="645" spans="1:2" x14ac:dyDescent="0.2">
      <c r="A645" s="57"/>
      <c r="B645" s="57"/>
    </row>
    <row r="646" spans="1:2" x14ac:dyDescent="0.2">
      <c r="A646" s="57"/>
      <c r="B646" s="57"/>
    </row>
    <row r="647" spans="1:2" x14ac:dyDescent="0.2">
      <c r="A647" s="57"/>
      <c r="B647" s="57"/>
    </row>
    <row r="648" spans="1:2" x14ac:dyDescent="0.2">
      <c r="A648" s="57"/>
      <c r="B648" s="57"/>
    </row>
    <row r="649" spans="1:2" x14ac:dyDescent="0.2">
      <c r="A649" s="57"/>
      <c r="B649" s="57"/>
    </row>
    <row r="650" spans="1:2" x14ac:dyDescent="0.2">
      <c r="A650" s="57"/>
      <c r="B650" s="57"/>
    </row>
    <row r="651" spans="1:2" x14ac:dyDescent="0.2">
      <c r="A651" s="57"/>
      <c r="B651" s="57"/>
    </row>
    <row r="652" spans="1:2" x14ac:dyDescent="0.2">
      <c r="A652" s="57"/>
      <c r="B652" s="57"/>
    </row>
    <row r="653" spans="1:2" x14ac:dyDescent="0.2">
      <c r="A653" s="57"/>
      <c r="B653" s="57"/>
    </row>
    <row r="654" spans="1:2" x14ac:dyDescent="0.2">
      <c r="A654" s="57"/>
      <c r="B654" s="57"/>
    </row>
    <row r="655" spans="1:2" x14ac:dyDescent="0.2">
      <c r="A655" s="57"/>
      <c r="B655" s="57"/>
    </row>
    <row r="656" spans="1:2" x14ac:dyDescent="0.2">
      <c r="A656" s="57"/>
      <c r="B656" s="57"/>
    </row>
    <row r="657" spans="1:2" x14ac:dyDescent="0.2">
      <c r="A657" s="57"/>
      <c r="B657" s="57"/>
    </row>
    <row r="658" spans="1:2" x14ac:dyDescent="0.2">
      <c r="A658" s="57"/>
      <c r="B658" s="57"/>
    </row>
    <row r="659" spans="1:2" x14ac:dyDescent="0.2">
      <c r="A659" s="57"/>
      <c r="B659" s="57"/>
    </row>
    <row r="660" spans="1:2" x14ac:dyDescent="0.2">
      <c r="A660" s="57"/>
      <c r="B660" s="57"/>
    </row>
    <row r="661" spans="1:2" x14ac:dyDescent="0.2">
      <c r="A661" s="57"/>
      <c r="B661" s="57"/>
    </row>
    <row r="662" spans="1:2" x14ac:dyDescent="0.2">
      <c r="A662" s="57"/>
      <c r="B662" s="57"/>
    </row>
    <row r="663" spans="1:2" x14ac:dyDescent="0.2">
      <c r="A663" s="57"/>
      <c r="B663" s="57"/>
    </row>
    <row r="664" spans="1:2" x14ac:dyDescent="0.2">
      <c r="A664" s="57"/>
      <c r="B664" s="57"/>
    </row>
    <row r="665" spans="1:2" x14ac:dyDescent="0.2">
      <c r="A665" s="57"/>
      <c r="B665" s="57"/>
    </row>
    <row r="666" spans="1:2" x14ac:dyDescent="0.2">
      <c r="A666" s="57"/>
      <c r="B666" s="57"/>
    </row>
    <row r="667" spans="1:2" x14ac:dyDescent="0.2">
      <c r="A667" s="57"/>
      <c r="B667" s="57"/>
    </row>
    <row r="668" spans="1:2" x14ac:dyDescent="0.2">
      <c r="A668" s="57"/>
      <c r="B668" s="57"/>
    </row>
    <row r="669" spans="1:2" x14ac:dyDescent="0.2">
      <c r="A669" s="57"/>
      <c r="B669" s="57"/>
    </row>
    <row r="670" spans="1:2" x14ac:dyDescent="0.2">
      <c r="A670" s="57"/>
      <c r="B670" s="57"/>
    </row>
    <row r="671" spans="1:2" x14ac:dyDescent="0.2">
      <c r="A671" s="57"/>
      <c r="B671" s="57"/>
    </row>
    <row r="672" spans="1:2" x14ac:dyDescent="0.2">
      <c r="A672" s="57"/>
      <c r="B672" s="57"/>
    </row>
    <row r="673" spans="1:2" x14ac:dyDescent="0.2">
      <c r="A673" s="57"/>
      <c r="B673" s="57"/>
    </row>
    <row r="674" spans="1:2" x14ac:dyDescent="0.2">
      <c r="A674" s="57"/>
      <c r="B674" s="57"/>
    </row>
    <row r="675" spans="1:2" x14ac:dyDescent="0.2">
      <c r="A675" s="57"/>
      <c r="B675" s="57"/>
    </row>
    <row r="676" spans="1:2" x14ac:dyDescent="0.2">
      <c r="A676" s="57"/>
      <c r="B676" s="57"/>
    </row>
    <row r="677" spans="1:2" x14ac:dyDescent="0.2">
      <c r="A677" s="57"/>
      <c r="B677" s="57"/>
    </row>
    <row r="678" spans="1:2" x14ac:dyDescent="0.2">
      <c r="A678" s="57"/>
      <c r="B678" s="57"/>
    </row>
    <row r="679" spans="1:2" x14ac:dyDescent="0.2">
      <c r="A679" s="57"/>
      <c r="B679" s="57"/>
    </row>
    <row r="680" spans="1:2" x14ac:dyDescent="0.2">
      <c r="A680" s="57"/>
      <c r="B680" s="57"/>
    </row>
    <row r="681" spans="1:2" x14ac:dyDescent="0.2">
      <c r="A681" s="57"/>
      <c r="B681" s="57"/>
    </row>
    <row r="682" spans="1:2" x14ac:dyDescent="0.2">
      <c r="A682" s="57"/>
      <c r="B682" s="57"/>
    </row>
    <row r="683" spans="1:2" x14ac:dyDescent="0.2">
      <c r="A683" s="57"/>
      <c r="B683" s="57"/>
    </row>
    <row r="684" spans="1:2" x14ac:dyDescent="0.2">
      <c r="A684" s="57"/>
      <c r="B684" s="57"/>
    </row>
    <row r="685" spans="1:2" x14ac:dyDescent="0.2">
      <c r="A685" s="57"/>
      <c r="B685" s="57"/>
    </row>
    <row r="686" spans="1:2" x14ac:dyDescent="0.2">
      <c r="A686" s="57"/>
      <c r="B686" s="57"/>
    </row>
    <row r="687" spans="1:2" x14ac:dyDescent="0.2">
      <c r="A687" s="57"/>
      <c r="B687" s="57"/>
    </row>
    <row r="688" spans="1:2" x14ac:dyDescent="0.2">
      <c r="A688" s="57"/>
      <c r="B688" s="57"/>
    </row>
    <row r="689" spans="1:2" x14ac:dyDescent="0.2">
      <c r="A689" s="57"/>
      <c r="B689" s="57"/>
    </row>
    <row r="690" spans="1:2" x14ac:dyDescent="0.2">
      <c r="A690" s="57"/>
      <c r="B690" s="57"/>
    </row>
    <row r="691" spans="1:2" x14ac:dyDescent="0.2">
      <c r="A691" s="57"/>
      <c r="B691" s="57"/>
    </row>
    <row r="692" spans="1:2" x14ac:dyDescent="0.2">
      <c r="A692" s="57"/>
      <c r="B692" s="57"/>
    </row>
    <row r="693" spans="1:2" x14ac:dyDescent="0.2">
      <c r="A693" s="57"/>
      <c r="B693" s="57"/>
    </row>
    <row r="694" spans="1:2" x14ac:dyDescent="0.2">
      <c r="A694" s="57"/>
      <c r="B694" s="57"/>
    </row>
    <row r="695" spans="1:2" x14ac:dyDescent="0.2">
      <c r="A695" s="57"/>
      <c r="B695" s="57"/>
    </row>
    <row r="696" spans="1:2" x14ac:dyDescent="0.2">
      <c r="A696" s="57"/>
      <c r="B696" s="57"/>
    </row>
    <row r="697" spans="1:2" x14ac:dyDescent="0.2">
      <c r="A697" s="57"/>
      <c r="B697" s="57"/>
    </row>
    <row r="698" spans="1:2" x14ac:dyDescent="0.2">
      <c r="A698" s="57"/>
      <c r="B698" s="57"/>
    </row>
    <row r="699" spans="1:2" x14ac:dyDescent="0.2">
      <c r="A699" s="57"/>
      <c r="B699" s="57"/>
    </row>
    <row r="700" spans="1:2" x14ac:dyDescent="0.2">
      <c r="A700" s="57"/>
      <c r="B700" s="57"/>
    </row>
    <row r="701" spans="1:2" x14ac:dyDescent="0.2">
      <c r="A701" s="57"/>
      <c r="B701" s="57"/>
    </row>
    <row r="702" spans="1:2" x14ac:dyDescent="0.2">
      <c r="A702" s="57"/>
      <c r="B702" s="57"/>
    </row>
    <row r="703" spans="1:2" x14ac:dyDescent="0.2">
      <c r="A703" s="57"/>
      <c r="B703" s="57"/>
    </row>
    <row r="704" spans="1:2" x14ac:dyDescent="0.2">
      <c r="A704" s="57"/>
      <c r="B704" s="57"/>
    </row>
    <row r="705" spans="1:2" x14ac:dyDescent="0.2">
      <c r="A705" s="57"/>
      <c r="B705" s="57"/>
    </row>
    <row r="706" spans="1:2" x14ac:dyDescent="0.2">
      <c r="A706" s="57"/>
      <c r="B706" s="57"/>
    </row>
    <row r="707" spans="1:2" x14ac:dyDescent="0.2">
      <c r="A707" s="57"/>
      <c r="B707" s="57"/>
    </row>
    <row r="708" spans="1:2" x14ac:dyDescent="0.2">
      <c r="A708" s="57"/>
      <c r="B708" s="57"/>
    </row>
    <row r="709" spans="1:2" x14ac:dyDescent="0.2">
      <c r="A709" s="57"/>
      <c r="B709" s="57"/>
    </row>
    <row r="710" spans="1:2" x14ac:dyDescent="0.2">
      <c r="A710" s="57"/>
      <c r="B710" s="57"/>
    </row>
    <row r="711" spans="1:2" x14ac:dyDescent="0.2">
      <c r="A711" s="57"/>
      <c r="B711" s="57"/>
    </row>
    <row r="712" spans="1:2" x14ac:dyDescent="0.2">
      <c r="A712" s="57"/>
      <c r="B712" s="57"/>
    </row>
    <row r="713" spans="1:2" x14ac:dyDescent="0.2">
      <c r="A713" s="57"/>
      <c r="B713" s="57"/>
    </row>
    <row r="714" spans="1:2" x14ac:dyDescent="0.2">
      <c r="A714" s="57"/>
      <c r="B714" s="57"/>
    </row>
    <row r="715" spans="1:2" x14ac:dyDescent="0.2">
      <c r="A715" s="57"/>
      <c r="B715" s="57"/>
    </row>
    <row r="716" spans="1:2" x14ac:dyDescent="0.2">
      <c r="A716" s="57"/>
      <c r="B716" s="57"/>
    </row>
    <row r="717" spans="1:2" x14ac:dyDescent="0.2">
      <c r="A717" s="57"/>
      <c r="B717" s="57"/>
    </row>
    <row r="718" spans="1:2" x14ac:dyDescent="0.2">
      <c r="A718" s="57"/>
      <c r="B718" s="57"/>
    </row>
    <row r="719" spans="1:2" x14ac:dyDescent="0.2">
      <c r="A719" s="57"/>
      <c r="B719" s="57"/>
    </row>
    <row r="720" spans="1:2" x14ac:dyDescent="0.2">
      <c r="A720" s="57"/>
      <c r="B720" s="57"/>
    </row>
    <row r="721" spans="1:2" x14ac:dyDescent="0.2">
      <c r="A721" s="57"/>
      <c r="B721" s="57"/>
    </row>
    <row r="722" spans="1:2" x14ac:dyDescent="0.2">
      <c r="A722" s="57"/>
      <c r="B722" s="57"/>
    </row>
    <row r="723" spans="1:2" x14ac:dyDescent="0.2">
      <c r="A723" s="57"/>
      <c r="B723" s="57"/>
    </row>
    <row r="724" spans="1:2" x14ac:dyDescent="0.2">
      <c r="A724" s="57"/>
      <c r="B724" s="57"/>
    </row>
    <row r="725" spans="1:2" x14ac:dyDescent="0.2">
      <c r="A725" s="57"/>
      <c r="B725" s="57"/>
    </row>
    <row r="726" spans="1:2" x14ac:dyDescent="0.2">
      <c r="A726" s="57"/>
      <c r="B726" s="57"/>
    </row>
    <row r="727" spans="1:2" x14ac:dyDescent="0.2">
      <c r="A727" s="57"/>
      <c r="B727" s="57"/>
    </row>
    <row r="728" spans="1:2" x14ac:dyDescent="0.2">
      <c r="A728" s="57"/>
      <c r="B728" s="57"/>
    </row>
    <row r="729" spans="1:2" x14ac:dyDescent="0.2">
      <c r="A729" s="57"/>
      <c r="B729" s="57"/>
    </row>
    <row r="730" spans="1:2" x14ac:dyDescent="0.2">
      <c r="A730" s="57"/>
      <c r="B730" s="57"/>
    </row>
    <row r="731" spans="1:2" x14ac:dyDescent="0.2">
      <c r="A731" s="57"/>
      <c r="B731" s="57"/>
    </row>
    <row r="732" spans="1:2" x14ac:dyDescent="0.2">
      <c r="A732" s="57"/>
      <c r="B732" s="57"/>
    </row>
    <row r="733" spans="1:2" x14ac:dyDescent="0.2">
      <c r="A733" s="57"/>
      <c r="B733" s="57"/>
    </row>
    <row r="734" spans="1:2" x14ac:dyDescent="0.2">
      <c r="A734" s="57"/>
      <c r="B734" s="57"/>
    </row>
    <row r="735" spans="1:2" x14ac:dyDescent="0.2">
      <c r="A735" s="57"/>
      <c r="B735" s="57"/>
    </row>
    <row r="736" spans="1:2" x14ac:dyDescent="0.2">
      <c r="A736" s="57"/>
      <c r="B736" s="57"/>
    </row>
    <row r="737" spans="1:2" x14ac:dyDescent="0.2">
      <c r="A737" s="57"/>
      <c r="B737" s="57"/>
    </row>
    <row r="738" spans="1:2" x14ac:dyDescent="0.2">
      <c r="A738" s="57"/>
      <c r="B738" s="57"/>
    </row>
    <row r="739" spans="1:2" x14ac:dyDescent="0.2">
      <c r="A739" s="57"/>
      <c r="B739" s="57"/>
    </row>
    <row r="740" spans="1:2" x14ac:dyDescent="0.2">
      <c r="A740" s="57"/>
      <c r="B740" s="57"/>
    </row>
    <row r="741" spans="1:2" x14ac:dyDescent="0.2">
      <c r="A741" s="57"/>
      <c r="B741" s="57"/>
    </row>
    <row r="742" spans="1:2" x14ac:dyDescent="0.2">
      <c r="A742" s="57"/>
      <c r="B742" s="57"/>
    </row>
    <row r="743" spans="1:2" x14ac:dyDescent="0.2">
      <c r="A743" s="57"/>
      <c r="B743" s="57"/>
    </row>
    <row r="744" spans="1:2" x14ac:dyDescent="0.2">
      <c r="A744" s="57"/>
      <c r="B744" s="57"/>
    </row>
    <row r="745" spans="1:2" x14ac:dyDescent="0.2">
      <c r="A745" s="57"/>
      <c r="B745" s="57"/>
    </row>
    <row r="746" spans="1:2" x14ac:dyDescent="0.2">
      <c r="A746" s="57"/>
      <c r="B746" s="57"/>
    </row>
    <row r="747" spans="1:2" x14ac:dyDescent="0.2">
      <c r="A747" s="57"/>
      <c r="B747" s="57"/>
    </row>
    <row r="748" spans="1:2" x14ac:dyDescent="0.2">
      <c r="A748" s="57"/>
      <c r="B748" s="57"/>
    </row>
    <row r="749" spans="1:2" x14ac:dyDescent="0.2">
      <c r="A749" s="57"/>
      <c r="B749" s="57"/>
    </row>
    <row r="750" spans="1:2" x14ac:dyDescent="0.2">
      <c r="A750" s="57"/>
      <c r="B750" s="57"/>
    </row>
    <row r="751" spans="1:2" x14ac:dyDescent="0.2">
      <c r="A751" s="57"/>
      <c r="B751" s="57"/>
    </row>
    <row r="752" spans="1:2" x14ac:dyDescent="0.2">
      <c r="A752" s="57"/>
      <c r="B752" s="57"/>
    </row>
    <row r="753" spans="1:2" x14ac:dyDescent="0.2">
      <c r="A753" s="57"/>
      <c r="B753" s="57"/>
    </row>
    <row r="754" spans="1:2" x14ac:dyDescent="0.2">
      <c r="A754" s="57"/>
      <c r="B754" s="57"/>
    </row>
    <row r="755" spans="1:2" x14ac:dyDescent="0.2">
      <c r="A755" s="57"/>
      <c r="B755" s="57"/>
    </row>
    <row r="756" spans="1:2" x14ac:dyDescent="0.2">
      <c r="A756" s="57"/>
      <c r="B756" s="57"/>
    </row>
    <row r="757" spans="1:2" x14ac:dyDescent="0.2">
      <c r="A757" s="57"/>
      <c r="B757" s="57"/>
    </row>
    <row r="758" spans="1:2" x14ac:dyDescent="0.2">
      <c r="A758" s="57"/>
      <c r="B758" s="57"/>
    </row>
    <row r="759" spans="1:2" x14ac:dyDescent="0.2">
      <c r="A759" s="57"/>
      <c r="B759" s="57"/>
    </row>
    <row r="760" spans="1:2" x14ac:dyDescent="0.2">
      <c r="A760" s="57"/>
      <c r="B760" s="57"/>
    </row>
    <row r="761" spans="1:2" x14ac:dyDescent="0.2">
      <c r="A761" s="57"/>
      <c r="B761" s="57"/>
    </row>
    <row r="762" spans="1:2" x14ac:dyDescent="0.2">
      <c r="A762" s="57"/>
      <c r="B762" s="57"/>
    </row>
    <row r="763" spans="1:2" x14ac:dyDescent="0.2">
      <c r="A763" s="57"/>
      <c r="B763" s="57"/>
    </row>
    <row r="764" spans="1:2" x14ac:dyDescent="0.2">
      <c r="A764" s="57"/>
      <c r="B764" s="57"/>
    </row>
    <row r="765" spans="1:2" x14ac:dyDescent="0.2">
      <c r="A765" s="57"/>
      <c r="B765" s="57"/>
    </row>
    <row r="766" spans="1:2" x14ac:dyDescent="0.2">
      <c r="A766" s="57"/>
      <c r="B766" s="57"/>
    </row>
    <row r="767" spans="1:2" x14ac:dyDescent="0.2">
      <c r="A767" s="57"/>
      <c r="B767" s="57"/>
    </row>
    <row r="768" spans="1:2" x14ac:dyDescent="0.2">
      <c r="A768" s="57"/>
      <c r="B768" s="57"/>
    </row>
    <row r="769" spans="1:2" x14ac:dyDescent="0.2">
      <c r="A769" s="57"/>
      <c r="B769" s="57"/>
    </row>
    <row r="770" spans="1:2" x14ac:dyDescent="0.2">
      <c r="A770" s="57"/>
      <c r="B770" s="57"/>
    </row>
    <row r="771" spans="1:2" x14ac:dyDescent="0.2">
      <c r="A771" s="57"/>
      <c r="B771" s="57"/>
    </row>
    <row r="772" spans="1:2" x14ac:dyDescent="0.2">
      <c r="A772" s="57"/>
      <c r="B772" s="57"/>
    </row>
    <row r="773" spans="1:2" x14ac:dyDescent="0.2">
      <c r="A773" s="57"/>
      <c r="B773" s="57"/>
    </row>
    <row r="774" spans="1:2" x14ac:dyDescent="0.2">
      <c r="A774" s="57"/>
      <c r="B774" s="57"/>
    </row>
    <row r="775" spans="1:2" x14ac:dyDescent="0.2">
      <c r="A775" s="57"/>
      <c r="B775" s="57"/>
    </row>
    <row r="776" spans="1:2" x14ac:dyDescent="0.2">
      <c r="A776" s="57"/>
      <c r="B776" s="57"/>
    </row>
    <row r="777" spans="1:2" x14ac:dyDescent="0.2">
      <c r="A777" s="57"/>
      <c r="B777" s="57"/>
    </row>
    <row r="778" spans="1:2" x14ac:dyDescent="0.2">
      <c r="A778" s="57"/>
      <c r="B778" s="57"/>
    </row>
    <row r="779" spans="1:2" x14ac:dyDescent="0.2">
      <c r="A779" s="57"/>
      <c r="B779" s="57"/>
    </row>
    <row r="780" spans="1:2" x14ac:dyDescent="0.2">
      <c r="A780" s="57"/>
      <c r="B780" s="57"/>
    </row>
    <row r="781" spans="1:2" x14ac:dyDescent="0.2">
      <c r="A781" s="57"/>
      <c r="B781" s="57"/>
    </row>
    <row r="782" spans="1:2" x14ac:dyDescent="0.2">
      <c r="A782" s="57"/>
      <c r="B782" s="57"/>
    </row>
    <row r="783" spans="1:2" x14ac:dyDescent="0.2">
      <c r="A783" s="57"/>
      <c r="B783" s="57"/>
    </row>
    <row r="784" spans="1:2" x14ac:dyDescent="0.2">
      <c r="A784" s="57"/>
      <c r="B784" s="57"/>
    </row>
    <row r="785" spans="1:2" x14ac:dyDescent="0.2">
      <c r="A785" s="57"/>
      <c r="B785" s="57"/>
    </row>
    <row r="786" spans="1:2" x14ac:dyDescent="0.2">
      <c r="A786" s="57"/>
      <c r="B786" s="57"/>
    </row>
    <row r="787" spans="1:2" x14ac:dyDescent="0.2">
      <c r="A787" s="57"/>
      <c r="B787" s="57"/>
    </row>
    <row r="788" spans="1:2" x14ac:dyDescent="0.2">
      <c r="A788" s="57"/>
      <c r="B788" s="57"/>
    </row>
    <row r="789" spans="1:2" x14ac:dyDescent="0.2">
      <c r="A789" s="57"/>
      <c r="B789" s="57"/>
    </row>
    <row r="790" spans="1:2" x14ac:dyDescent="0.2">
      <c r="A790" s="57"/>
      <c r="B790" s="57"/>
    </row>
    <row r="791" spans="1:2" x14ac:dyDescent="0.2">
      <c r="A791" s="57"/>
      <c r="B791" s="57"/>
    </row>
    <row r="792" spans="1:2" x14ac:dyDescent="0.2">
      <c r="A792" s="57"/>
      <c r="B792" s="57"/>
    </row>
    <row r="793" spans="1:2" x14ac:dyDescent="0.2">
      <c r="A793" s="57"/>
      <c r="B793" s="57"/>
    </row>
    <row r="794" spans="1:2" x14ac:dyDescent="0.2">
      <c r="A794" s="57"/>
      <c r="B794" s="57"/>
    </row>
    <row r="795" spans="1:2" x14ac:dyDescent="0.2">
      <c r="A795" s="57"/>
      <c r="B795" s="57"/>
    </row>
    <row r="796" spans="1:2" x14ac:dyDescent="0.2">
      <c r="A796" s="57"/>
      <c r="B796" s="57"/>
    </row>
    <row r="797" spans="1:2" x14ac:dyDescent="0.2">
      <c r="A797" s="57"/>
      <c r="B797" s="57"/>
    </row>
    <row r="798" spans="1:2" x14ac:dyDescent="0.2">
      <c r="A798" s="57"/>
      <c r="B798" s="57"/>
    </row>
    <row r="799" spans="1:2" x14ac:dyDescent="0.2">
      <c r="A799" s="57"/>
      <c r="B799" s="57"/>
    </row>
    <row r="800" spans="1:2" x14ac:dyDescent="0.2">
      <c r="A800" s="57"/>
      <c r="B800" s="57"/>
    </row>
    <row r="801" spans="1:2" x14ac:dyDescent="0.2">
      <c r="A801" s="57"/>
      <c r="B801" s="57"/>
    </row>
    <row r="802" spans="1:2" x14ac:dyDescent="0.2">
      <c r="A802" s="57"/>
      <c r="B802" s="57"/>
    </row>
    <row r="803" spans="1:2" x14ac:dyDescent="0.2">
      <c r="A803" s="57"/>
      <c r="B803" s="57"/>
    </row>
    <row r="804" spans="1:2" x14ac:dyDescent="0.2">
      <c r="A804" s="57"/>
      <c r="B804" s="57"/>
    </row>
    <row r="805" spans="1:2" x14ac:dyDescent="0.2">
      <c r="A805" s="57"/>
      <c r="B805" s="57"/>
    </row>
    <row r="806" spans="1:2" x14ac:dyDescent="0.2">
      <c r="A806" s="57"/>
      <c r="B806" s="57"/>
    </row>
    <row r="807" spans="1:2" x14ac:dyDescent="0.2">
      <c r="A807" s="57"/>
      <c r="B807" s="57"/>
    </row>
    <row r="808" spans="1:2" x14ac:dyDescent="0.2">
      <c r="A808" s="57"/>
      <c r="B808" s="57"/>
    </row>
    <row r="809" spans="1:2" x14ac:dyDescent="0.2">
      <c r="A809" s="57"/>
      <c r="B809" s="57"/>
    </row>
    <row r="810" spans="1:2" x14ac:dyDescent="0.2">
      <c r="A810" s="57"/>
      <c r="B810" s="57"/>
    </row>
    <row r="811" spans="1:2" x14ac:dyDescent="0.2">
      <c r="A811" s="57"/>
      <c r="B811" s="57"/>
    </row>
    <row r="812" spans="1:2" x14ac:dyDescent="0.2">
      <c r="A812" s="57"/>
      <c r="B812" s="57"/>
    </row>
    <row r="813" spans="1:2" x14ac:dyDescent="0.2">
      <c r="A813" s="57"/>
      <c r="B813" s="57"/>
    </row>
    <row r="814" spans="1:2" x14ac:dyDescent="0.2">
      <c r="A814" s="57"/>
      <c r="B814" s="57"/>
    </row>
    <row r="815" spans="1:2" x14ac:dyDescent="0.2">
      <c r="A815" s="57"/>
      <c r="B815" s="57"/>
    </row>
    <row r="816" spans="1:2" x14ac:dyDescent="0.2">
      <c r="A816" s="57"/>
      <c r="B816" s="57"/>
    </row>
    <row r="817" spans="1:2" x14ac:dyDescent="0.2">
      <c r="A817" s="57"/>
      <c r="B817" s="57"/>
    </row>
    <row r="818" spans="1:2" x14ac:dyDescent="0.2">
      <c r="A818" s="57"/>
      <c r="B818" s="57"/>
    </row>
    <row r="819" spans="1:2" x14ac:dyDescent="0.2">
      <c r="A819" s="57"/>
      <c r="B819" s="57"/>
    </row>
    <row r="820" spans="1:2" x14ac:dyDescent="0.2">
      <c r="A820" s="57"/>
      <c r="B820" s="57"/>
    </row>
    <row r="821" spans="1:2" x14ac:dyDescent="0.2">
      <c r="A821" s="57"/>
      <c r="B821" s="57"/>
    </row>
    <row r="822" spans="1:2" x14ac:dyDescent="0.2">
      <c r="A822" s="57"/>
      <c r="B822" s="57"/>
    </row>
    <row r="823" spans="1:2" x14ac:dyDescent="0.2">
      <c r="A823" s="57"/>
      <c r="B823" s="57"/>
    </row>
    <row r="824" spans="1:2" x14ac:dyDescent="0.2">
      <c r="A824" s="57"/>
      <c r="B824" s="57"/>
    </row>
    <row r="825" spans="1:2" x14ac:dyDescent="0.2">
      <c r="A825" s="57"/>
      <c r="B825" s="57"/>
    </row>
    <row r="826" spans="1:2" x14ac:dyDescent="0.2">
      <c r="A826" s="57"/>
      <c r="B826" s="57"/>
    </row>
    <row r="827" spans="1:2" x14ac:dyDescent="0.2">
      <c r="A827" s="57"/>
      <c r="B827" s="57"/>
    </row>
    <row r="828" spans="1:2" x14ac:dyDescent="0.2">
      <c r="A828" s="57"/>
      <c r="B828" s="57"/>
    </row>
    <row r="829" spans="1:2" x14ac:dyDescent="0.2">
      <c r="A829" s="57"/>
      <c r="B829" s="57"/>
    </row>
    <row r="830" spans="1:2" x14ac:dyDescent="0.2">
      <c r="A830" s="57"/>
      <c r="B830" s="57"/>
    </row>
    <row r="831" spans="1:2" x14ac:dyDescent="0.2">
      <c r="A831" s="57"/>
      <c r="B831" s="57"/>
    </row>
    <row r="832" spans="1:2" x14ac:dyDescent="0.2">
      <c r="A832" s="57"/>
      <c r="B832" s="57"/>
    </row>
    <row r="833" spans="1:2" x14ac:dyDescent="0.2">
      <c r="A833" s="57"/>
      <c r="B833" s="57"/>
    </row>
    <row r="834" spans="1:2" x14ac:dyDescent="0.2">
      <c r="A834" s="57"/>
      <c r="B834" s="57"/>
    </row>
    <row r="835" spans="1:2" x14ac:dyDescent="0.2">
      <c r="A835" s="57"/>
      <c r="B835" s="57"/>
    </row>
    <row r="836" spans="1:2" x14ac:dyDescent="0.2">
      <c r="A836" s="57"/>
      <c r="B836" s="57"/>
    </row>
    <row r="837" spans="1:2" x14ac:dyDescent="0.2">
      <c r="A837" s="57"/>
      <c r="B837" s="57"/>
    </row>
    <row r="838" spans="1:2" x14ac:dyDescent="0.2">
      <c r="A838" s="57"/>
      <c r="B838" s="57"/>
    </row>
    <row r="839" spans="1:2" x14ac:dyDescent="0.2">
      <c r="A839" s="57"/>
      <c r="B839" s="57"/>
    </row>
    <row r="840" spans="1:2" x14ac:dyDescent="0.2">
      <c r="A840" s="57"/>
      <c r="B840" s="57"/>
    </row>
    <row r="841" spans="1:2" x14ac:dyDescent="0.2">
      <c r="A841" s="57"/>
      <c r="B841" s="57"/>
    </row>
    <row r="842" spans="1:2" x14ac:dyDescent="0.2">
      <c r="A842" s="57"/>
      <c r="B842" s="57"/>
    </row>
    <row r="843" spans="1:2" x14ac:dyDescent="0.2">
      <c r="A843" s="57"/>
      <c r="B843" s="57"/>
    </row>
    <row r="844" spans="1:2" x14ac:dyDescent="0.2">
      <c r="A844" s="57"/>
      <c r="B844" s="57"/>
    </row>
    <row r="845" spans="1:2" x14ac:dyDescent="0.2">
      <c r="A845" s="57"/>
      <c r="B845" s="57"/>
    </row>
    <row r="846" spans="1:2" x14ac:dyDescent="0.2">
      <c r="A846" s="57"/>
      <c r="B846" s="57"/>
    </row>
    <row r="847" spans="1:2" x14ac:dyDescent="0.2">
      <c r="A847" s="57"/>
      <c r="B847" s="57"/>
    </row>
    <row r="848" spans="1:2" x14ac:dyDescent="0.2">
      <c r="A848" s="57"/>
      <c r="B848" s="57"/>
    </row>
    <row r="849" spans="1:2" x14ac:dyDescent="0.2">
      <c r="A849" s="57"/>
      <c r="B849" s="57"/>
    </row>
    <row r="850" spans="1:2" x14ac:dyDescent="0.2">
      <c r="A850" s="57"/>
      <c r="B850" s="57"/>
    </row>
    <row r="851" spans="1:2" x14ac:dyDescent="0.2">
      <c r="A851" s="57"/>
      <c r="B851" s="57"/>
    </row>
    <row r="852" spans="1:2" x14ac:dyDescent="0.2">
      <c r="A852" s="57"/>
      <c r="B852" s="57"/>
    </row>
    <row r="853" spans="1:2" x14ac:dyDescent="0.2">
      <c r="A853" s="57"/>
      <c r="B853" s="57"/>
    </row>
    <row r="854" spans="1:2" x14ac:dyDescent="0.2">
      <c r="A854" s="57"/>
      <c r="B854" s="57"/>
    </row>
    <row r="855" spans="1:2" x14ac:dyDescent="0.2">
      <c r="A855" s="57"/>
      <c r="B855" s="57"/>
    </row>
    <row r="856" spans="1:2" x14ac:dyDescent="0.2">
      <c r="A856" s="57"/>
      <c r="B856" s="57"/>
    </row>
    <row r="857" spans="1:2" x14ac:dyDescent="0.2">
      <c r="A857" s="57"/>
      <c r="B857" s="57"/>
    </row>
    <row r="858" spans="1:2" x14ac:dyDescent="0.2">
      <c r="A858" s="57"/>
      <c r="B858" s="57"/>
    </row>
    <row r="859" spans="1:2" x14ac:dyDescent="0.2">
      <c r="A859" s="57"/>
      <c r="B859" s="57"/>
    </row>
    <row r="860" spans="1:2" x14ac:dyDescent="0.2">
      <c r="A860" s="57"/>
      <c r="B860" s="57"/>
    </row>
    <row r="861" spans="1:2" x14ac:dyDescent="0.2">
      <c r="A861" s="57"/>
      <c r="B861" s="57"/>
    </row>
    <row r="862" spans="1:2" x14ac:dyDescent="0.2">
      <c r="A862" s="57"/>
      <c r="B862" s="57"/>
    </row>
    <row r="863" spans="1:2" x14ac:dyDescent="0.2">
      <c r="A863" s="57"/>
      <c r="B863" s="57"/>
    </row>
    <row r="864" spans="1:2" x14ac:dyDescent="0.2">
      <c r="A864" s="57"/>
      <c r="B864" s="57"/>
    </row>
    <row r="865" spans="1:2" x14ac:dyDescent="0.2">
      <c r="A865" s="57"/>
      <c r="B865" s="57"/>
    </row>
    <row r="866" spans="1:2" x14ac:dyDescent="0.2">
      <c r="A866" s="57"/>
      <c r="B866" s="57"/>
    </row>
    <row r="867" spans="1:2" x14ac:dyDescent="0.2">
      <c r="A867" s="57"/>
      <c r="B867" s="57"/>
    </row>
    <row r="868" spans="1:2" x14ac:dyDescent="0.2">
      <c r="A868" s="57"/>
      <c r="B868" s="57"/>
    </row>
    <row r="869" spans="1:2" x14ac:dyDescent="0.2">
      <c r="A869" s="57"/>
      <c r="B869" s="57"/>
    </row>
    <row r="870" spans="1:2" x14ac:dyDescent="0.2">
      <c r="A870" s="57"/>
      <c r="B870" s="57"/>
    </row>
    <row r="871" spans="1:2" x14ac:dyDescent="0.2">
      <c r="A871" s="57"/>
      <c r="B871" s="57"/>
    </row>
    <row r="872" spans="1:2" x14ac:dyDescent="0.2">
      <c r="A872" s="57"/>
      <c r="B872" s="57"/>
    </row>
    <row r="873" spans="1:2" x14ac:dyDescent="0.2">
      <c r="A873" s="57"/>
      <c r="B873" s="57"/>
    </row>
    <row r="874" spans="1:2" x14ac:dyDescent="0.2">
      <c r="A874" s="57"/>
      <c r="B874" s="57"/>
    </row>
    <row r="875" spans="1:2" x14ac:dyDescent="0.2">
      <c r="A875" s="57"/>
      <c r="B875" s="57"/>
    </row>
    <row r="876" spans="1:2" x14ac:dyDescent="0.2">
      <c r="A876" s="57"/>
      <c r="B876" s="57"/>
    </row>
    <row r="877" spans="1:2" x14ac:dyDescent="0.2">
      <c r="A877" s="57"/>
      <c r="B877" s="57"/>
    </row>
    <row r="878" spans="1:2" x14ac:dyDescent="0.2">
      <c r="A878" s="57"/>
      <c r="B878" s="57"/>
    </row>
    <row r="879" spans="1:2" x14ac:dyDescent="0.2">
      <c r="A879" s="57"/>
      <c r="B879" s="57"/>
    </row>
    <row r="880" spans="1:2" x14ac:dyDescent="0.2">
      <c r="A880" s="57"/>
      <c r="B880" s="57"/>
    </row>
    <row r="881" spans="1:2" x14ac:dyDescent="0.2">
      <c r="A881" s="57"/>
      <c r="B881" s="57"/>
    </row>
    <row r="882" spans="1:2" x14ac:dyDescent="0.2">
      <c r="A882" s="57"/>
      <c r="B882" s="57"/>
    </row>
    <row r="883" spans="1:2" x14ac:dyDescent="0.2">
      <c r="A883" s="57"/>
      <c r="B883" s="57"/>
    </row>
    <row r="884" spans="1:2" x14ac:dyDescent="0.2">
      <c r="A884" s="57"/>
      <c r="B884" s="57"/>
    </row>
    <row r="885" spans="1:2" x14ac:dyDescent="0.2">
      <c r="A885" s="57"/>
      <c r="B885" s="57"/>
    </row>
    <row r="886" spans="1:2" x14ac:dyDescent="0.2">
      <c r="A886" s="57"/>
      <c r="B886" s="57"/>
    </row>
    <row r="887" spans="1:2" x14ac:dyDescent="0.2">
      <c r="A887" s="57"/>
      <c r="B887" s="57"/>
    </row>
    <row r="888" spans="1:2" x14ac:dyDescent="0.2">
      <c r="A888" s="57"/>
      <c r="B888" s="57"/>
    </row>
    <row r="889" spans="1:2" x14ac:dyDescent="0.2">
      <c r="A889" s="57"/>
      <c r="B889" s="57"/>
    </row>
    <row r="890" spans="1:2" x14ac:dyDescent="0.2">
      <c r="A890" s="57"/>
      <c r="B890" s="57"/>
    </row>
    <row r="891" spans="1:2" x14ac:dyDescent="0.2">
      <c r="A891" s="57"/>
      <c r="B891" s="57"/>
    </row>
    <row r="892" spans="1:2" x14ac:dyDescent="0.2">
      <c r="A892" s="57"/>
      <c r="B892" s="57"/>
    </row>
    <row r="893" spans="1:2" x14ac:dyDescent="0.2">
      <c r="A893" s="57"/>
      <c r="B893" s="57"/>
    </row>
    <row r="894" spans="1:2" x14ac:dyDescent="0.2">
      <c r="A894" s="57"/>
      <c r="B894" s="57"/>
    </row>
    <row r="895" spans="1:2" x14ac:dyDescent="0.2">
      <c r="A895" s="57"/>
      <c r="B895" s="57"/>
    </row>
    <row r="896" spans="1:2" x14ac:dyDescent="0.2">
      <c r="A896" s="57"/>
      <c r="B896" s="57"/>
    </row>
    <row r="897" spans="1:2" x14ac:dyDescent="0.2">
      <c r="A897" s="57"/>
      <c r="B897" s="57"/>
    </row>
    <row r="898" spans="1:2" x14ac:dyDescent="0.2">
      <c r="A898" s="57"/>
      <c r="B898" s="57"/>
    </row>
    <row r="899" spans="1:2" x14ac:dyDescent="0.2">
      <c r="A899" s="57"/>
      <c r="B899" s="57"/>
    </row>
    <row r="900" spans="1:2" x14ac:dyDescent="0.2">
      <c r="A900" s="57"/>
      <c r="B900" s="57"/>
    </row>
    <row r="901" spans="1:2" x14ac:dyDescent="0.2">
      <c r="A901" s="57"/>
      <c r="B901" s="57"/>
    </row>
    <row r="902" spans="1:2" x14ac:dyDescent="0.2">
      <c r="A902" s="57"/>
      <c r="B902" s="57"/>
    </row>
    <row r="903" spans="1:2" x14ac:dyDescent="0.2">
      <c r="A903" s="57"/>
      <c r="B903" s="57"/>
    </row>
    <row r="904" spans="1:2" x14ac:dyDescent="0.2">
      <c r="A904" s="57"/>
      <c r="B904" s="57"/>
    </row>
    <row r="905" spans="1:2" x14ac:dyDescent="0.2">
      <c r="A905" s="57"/>
      <c r="B905" s="57"/>
    </row>
    <row r="906" spans="1:2" x14ac:dyDescent="0.2">
      <c r="A906" s="57"/>
      <c r="B906" s="57"/>
    </row>
    <row r="907" spans="1:2" x14ac:dyDescent="0.2">
      <c r="A907" s="57"/>
      <c r="B907" s="57"/>
    </row>
    <row r="908" spans="1:2" x14ac:dyDescent="0.2">
      <c r="A908" s="57"/>
      <c r="B908" s="57"/>
    </row>
    <row r="909" spans="1:2" x14ac:dyDescent="0.2">
      <c r="A909" s="57"/>
      <c r="B909" s="57"/>
    </row>
    <row r="910" spans="1:2" x14ac:dyDescent="0.2">
      <c r="A910" s="57"/>
      <c r="B910" s="57"/>
    </row>
    <row r="911" spans="1:2" x14ac:dyDescent="0.2">
      <c r="A911" s="57"/>
      <c r="B911" s="57"/>
    </row>
    <row r="912" spans="1:2" x14ac:dyDescent="0.2">
      <c r="A912" s="57"/>
      <c r="B912" s="57"/>
    </row>
    <row r="913" spans="1:2" x14ac:dyDescent="0.2">
      <c r="A913" s="57"/>
      <c r="B913" s="57"/>
    </row>
    <row r="914" spans="1:2" x14ac:dyDescent="0.2">
      <c r="A914" s="57"/>
      <c r="B914" s="57"/>
    </row>
    <row r="915" spans="1:2" x14ac:dyDescent="0.2">
      <c r="A915" s="57"/>
      <c r="B915" s="57"/>
    </row>
    <row r="916" spans="1:2" x14ac:dyDescent="0.2">
      <c r="A916" s="57"/>
      <c r="B916" s="57"/>
    </row>
    <row r="917" spans="1:2" x14ac:dyDescent="0.2">
      <c r="A917" s="57"/>
      <c r="B917" s="57"/>
    </row>
    <row r="918" spans="1:2" x14ac:dyDescent="0.2">
      <c r="A918" s="57"/>
      <c r="B918" s="57"/>
    </row>
    <row r="919" spans="1:2" x14ac:dyDescent="0.2">
      <c r="A919" s="57"/>
      <c r="B919" s="57"/>
    </row>
    <row r="920" spans="1:2" x14ac:dyDescent="0.2">
      <c r="A920" s="57"/>
      <c r="B920" s="57"/>
    </row>
    <row r="921" spans="1:2" x14ac:dyDescent="0.2">
      <c r="A921" s="57"/>
      <c r="B921" s="57"/>
    </row>
    <row r="922" spans="1:2" x14ac:dyDescent="0.2">
      <c r="A922" s="57"/>
      <c r="B922" s="57"/>
    </row>
    <row r="923" spans="1:2" x14ac:dyDescent="0.2">
      <c r="A923" s="57"/>
      <c r="B923" s="57"/>
    </row>
    <row r="924" spans="1:2" x14ac:dyDescent="0.2">
      <c r="A924" s="57"/>
      <c r="B924" s="57"/>
    </row>
    <row r="925" spans="1:2" x14ac:dyDescent="0.2">
      <c r="A925" s="57"/>
      <c r="B925" s="57"/>
    </row>
    <row r="926" spans="1:2" x14ac:dyDescent="0.2">
      <c r="A926" s="57"/>
      <c r="B926" s="57"/>
    </row>
    <row r="927" spans="1:2" x14ac:dyDescent="0.2">
      <c r="A927" s="57"/>
      <c r="B927" s="57"/>
    </row>
    <row r="928" spans="1:2" x14ac:dyDescent="0.2">
      <c r="A928" s="57"/>
      <c r="B928" s="57"/>
    </row>
    <row r="929" spans="1:2" x14ac:dyDescent="0.2">
      <c r="A929" s="57"/>
      <c r="B929" s="57"/>
    </row>
    <row r="930" spans="1:2" x14ac:dyDescent="0.2">
      <c r="A930" s="57"/>
      <c r="B930" s="57"/>
    </row>
    <row r="931" spans="1:2" x14ac:dyDescent="0.2">
      <c r="A931" s="57"/>
      <c r="B931" s="57"/>
    </row>
    <row r="932" spans="1:2" x14ac:dyDescent="0.2">
      <c r="A932" s="57"/>
      <c r="B932" s="57"/>
    </row>
    <row r="933" spans="1:2" x14ac:dyDescent="0.2">
      <c r="A933" s="57"/>
      <c r="B933" s="57"/>
    </row>
    <row r="934" spans="1:2" x14ac:dyDescent="0.2">
      <c r="A934" s="57"/>
      <c r="B934" s="57"/>
    </row>
    <row r="935" spans="1:2" x14ac:dyDescent="0.2">
      <c r="A935" s="57"/>
      <c r="B935" s="57"/>
    </row>
    <row r="936" spans="1:2" x14ac:dyDescent="0.2">
      <c r="A936" s="57"/>
      <c r="B936" s="57"/>
    </row>
    <row r="937" spans="1:2" x14ac:dyDescent="0.2">
      <c r="A937" s="57"/>
      <c r="B937" s="57"/>
    </row>
    <row r="938" spans="1:2" x14ac:dyDescent="0.2">
      <c r="A938" s="57"/>
      <c r="B938" s="57"/>
    </row>
    <row r="939" spans="1:2" x14ac:dyDescent="0.2">
      <c r="A939" s="57"/>
      <c r="B939" s="57"/>
    </row>
    <row r="940" spans="1:2" x14ac:dyDescent="0.2">
      <c r="A940" s="57"/>
      <c r="B940" s="57"/>
    </row>
    <row r="941" spans="1:2" x14ac:dyDescent="0.2">
      <c r="A941" s="57"/>
      <c r="B941" s="57"/>
    </row>
    <row r="942" spans="1:2" x14ac:dyDescent="0.2">
      <c r="A942" s="57"/>
      <c r="B942" s="57"/>
    </row>
    <row r="943" spans="1:2" x14ac:dyDescent="0.2">
      <c r="A943" s="57"/>
      <c r="B943" s="57"/>
    </row>
    <row r="944" spans="1:2" x14ac:dyDescent="0.2">
      <c r="A944" s="57"/>
      <c r="B944" s="57"/>
    </row>
    <row r="945" spans="1:2" x14ac:dyDescent="0.2">
      <c r="A945" s="57"/>
      <c r="B945" s="57"/>
    </row>
    <row r="946" spans="1:2" x14ac:dyDescent="0.2">
      <c r="A946" s="57"/>
      <c r="B946" s="57"/>
    </row>
    <row r="947" spans="1:2" x14ac:dyDescent="0.2">
      <c r="A947" s="57"/>
      <c r="B947" s="57"/>
    </row>
    <row r="948" spans="1:2" x14ac:dyDescent="0.2">
      <c r="A948" s="57"/>
      <c r="B948" s="57"/>
    </row>
    <row r="949" spans="1:2" x14ac:dyDescent="0.2">
      <c r="A949" s="57"/>
      <c r="B949" s="57"/>
    </row>
    <row r="950" spans="1:2" x14ac:dyDescent="0.2">
      <c r="A950" s="57"/>
      <c r="B950" s="57"/>
    </row>
    <row r="951" spans="1:2" x14ac:dyDescent="0.2">
      <c r="A951" s="57"/>
      <c r="B951" s="57"/>
    </row>
    <row r="952" spans="1:2" x14ac:dyDescent="0.2">
      <c r="A952" s="57"/>
      <c r="B952" s="57"/>
    </row>
    <row r="953" spans="1:2" x14ac:dyDescent="0.2">
      <c r="A953" s="57"/>
      <c r="B953" s="57"/>
    </row>
    <row r="954" spans="1:2" x14ac:dyDescent="0.2">
      <c r="A954" s="57"/>
      <c r="B954" s="57"/>
    </row>
    <row r="955" spans="1:2" x14ac:dyDescent="0.2">
      <c r="A955" s="57"/>
      <c r="B955" s="57"/>
    </row>
    <row r="956" spans="1:2" x14ac:dyDescent="0.2">
      <c r="A956" s="57"/>
      <c r="B956" s="57"/>
    </row>
    <row r="957" spans="1:2" x14ac:dyDescent="0.2">
      <c r="A957" s="57"/>
      <c r="B957" s="57"/>
    </row>
    <row r="958" spans="1:2" x14ac:dyDescent="0.2">
      <c r="A958" s="57"/>
      <c r="B958" s="57"/>
    </row>
    <row r="959" spans="1:2" x14ac:dyDescent="0.2">
      <c r="A959" s="57"/>
      <c r="B959" s="57"/>
    </row>
    <row r="960" spans="1:2" x14ac:dyDescent="0.2">
      <c r="A960" s="57"/>
      <c r="B960" s="57"/>
    </row>
    <row r="961" spans="1:2" x14ac:dyDescent="0.2">
      <c r="A961" s="57"/>
      <c r="B961" s="57"/>
    </row>
    <row r="962" spans="1:2" x14ac:dyDescent="0.2">
      <c r="A962" s="57"/>
      <c r="B962" s="57"/>
    </row>
    <row r="963" spans="1:2" x14ac:dyDescent="0.2">
      <c r="A963" s="57"/>
      <c r="B963" s="57"/>
    </row>
    <row r="964" spans="1:2" x14ac:dyDescent="0.2">
      <c r="A964" s="57"/>
      <c r="B964" s="57"/>
    </row>
    <row r="965" spans="1:2" x14ac:dyDescent="0.2">
      <c r="A965" s="57"/>
      <c r="B965" s="57"/>
    </row>
    <row r="966" spans="1:2" x14ac:dyDescent="0.2">
      <c r="A966" s="57"/>
      <c r="B966" s="57"/>
    </row>
    <row r="967" spans="1:2" x14ac:dyDescent="0.2">
      <c r="A967" s="57"/>
      <c r="B967" s="57"/>
    </row>
    <row r="968" spans="1:2" x14ac:dyDescent="0.2">
      <c r="A968" s="57"/>
      <c r="B968" s="57"/>
    </row>
    <row r="969" spans="1:2" x14ac:dyDescent="0.2">
      <c r="A969" s="57"/>
      <c r="B969" s="57"/>
    </row>
    <row r="970" spans="1:2" x14ac:dyDescent="0.2">
      <c r="A970" s="57"/>
      <c r="B970" s="57"/>
    </row>
    <row r="971" spans="1:2" x14ac:dyDescent="0.2">
      <c r="A971" s="57"/>
      <c r="B971" s="57"/>
    </row>
    <row r="972" spans="1:2" x14ac:dyDescent="0.2">
      <c r="A972" s="57"/>
      <c r="B972" s="57"/>
    </row>
    <row r="973" spans="1:2" x14ac:dyDescent="0.2">
      <c r="A973" s="57"/>
      <c r="B973" s="57"/>
    </row>
    <row r="974" spans="1:2" x14ac:dyDescent="0.2">
      <c r="A974" s="57"/>
      <c r="B974" s="57"/>
    </row>
    <row r="975" spans="1:2" x14ac:dyDescent="0.2">
      <c r="A975" s="57"/>
      <c r="B975" s="57"/>
    </row>
    <row r="976" spans="1:2" x14ac:dyDescent="0.2">
      <c r="A976" s="57"/>
      <c r="B976" s="57"/>
    </row>
    <row r="977" spans="1:2" x14ac:dyDescent="0.2">
      <c r="A977" s="57"/>
      <c r="B977" s="57"/>
    </row>
    <row r="978" spans="1:2" x14ac:dyDescent="0.2">
      <c r="A978" s="57"/>
      <c r="B978" s="57"/>
    </row>
    <row r="979" spans="1:2" x14ac:dyDescent="0.2">
      <c r="A979" s="57"/>
      <c r="B979" s="57"/>
    </row>
    <row r="980" spans="1:2" x14ac:dyDescent="0.2">
      <c r="A980" s="57"/>
      <c r="B980" s="57"/>
    </row>
    <row r="981" spans="1:2" x14ac:dyDescent="0.2">
      <c r="A981" s="57"/>
      <c r="B981" s="57"/>
    </row>
    <row r="982" spans="1:2" x14ac:dyDescent="0.2">
      <c r="A982" s="57"/>
      <c r="B982" s="57"/>
    </row>
    <row r="983" spans="1:2" x14ac:dyDescent="0.2">
      <c r="A983" s="57"/>
      <c r="B983" s="57"/>
    </row>
    <row r="984" spans="1:2" x14ac:dyDescent="0.2">
      <c r="A984" s="57"/>
      <c r="B984" s="57"/>
    </row>
    <row r="985" spans="1:2" x14ac:dyDescent="0.2">
      <c r="A985" s="57"/>
      <c r="B985" s="57"/>
    </row>
    <row r="986" spans="1:2" x14ac:dyDescent="0.2">
      <c r="A986" s="57"/>
      <c r="B986" s="57"/>
    </row>
    <row r="987" spans="1:2" x14ac:dyDescent="0.2">
      <c r="A987" s="57"/>
      <c r="B987" s="57"/>
    </row>
    <row r="988" spans="1:2" x14ac:dyDescent="0.2">
      <c r="A988" s="57"/>
      <c r="B988" s="57"/>
    </row>
    <row r="989" spans="1:2" x14ac:dyDescent="0.2">
      <c r="A989" s="57"/>
      <c r="B989" s="57"/>
    </row>
    <row r="990" spans="1:2" x14ac:dyDescent="0.2">
      <c r="A990" s="57"/>
      <c r="B990" s="57"/>
    </row>
    <row r="991" spans="1:2" x14ac:dyDescent="0.2">
      <c r="A991" s="57"/>
      <c r="B991" s="57"/>
    </row>
    <row r="992" spans="1:2" x14ac:dyDescent="0.2">
      <c r="A992" s="57"/>
      <c r="B992" s="57"/>
    </row>
    <row r="993" spans="1:2" x14ac:dyDescent="0.2">
      <c r="A993" s="57"/>
      <c r="B993" s="57"/>
    </row>
    <row r="994" spans="1:2" x14ac:dyDescent="0.2">
      <c r="A994" s="57"/>
      <c r="B994" s="57"/>
    </row>
    <row r="995" spans="1:2" x14ac:dyDescent="0.2">
      <c r="A995" s="57"/>
      <c r="B995" s="57"/>
    </row>
    <row r="996" spans="1:2" x14ac:dyDescent="0.2">
      <c r="A996" s="57"/>
      <c r="B996" s="57"/>
    </row>
    <row r="997" spans="1:2" x14ac:dyDescent="0.2">
      <c r="A997" s="57"/>
      <c r="B997" s="57"/>
    </row>
    <row r="998" spans="1:2" x14ac:dyDescent="0.2">
      <c r="A998" s="57"/>
      <c r="B998" s="57"/>
    </row>
    <row r="999" spans="1:2" x14ac:dyDescent="0.2">
      <c r="A999" s="57"/>
      <c r="B999" s="57"/>
    </row>
    <row r="1000" spans="1:2" x14ac:dyDescent="0.2">
      <c r="A1000" s="57"/>
      <c r="B1000" s="57"/>
    </row>
    <row r="1001" spans="1:2" x14ac:dyDescent="0.2">
      <c r="A1001" s="57"/>
      <c r="B1001" s="57"/>
    </row>
    <row r="1002" spans="1:2" x14ac:dyDescent="0.2">
      <c r="A1002" s="57"/>
      <c r="B1002" s="57"/>
    </row>
    <row r="1003" spans="1:2" x14ac:dyDescent="0.2">
      <c r="A1003" s="57"/>
      <c r="B1003" s="57"/>
    </row>
    <row r="1004" spans="1:2" x14ac:dyDescent="0.2">
      <c r="A1004" s="57"/>
      <c r="B1004" s="57"/>
    </row>
    <row r="1005" spans="1:2" x14ac:dyDescent="0.2">
      <c r="A1005" s="57"/>
      <c r="B1005" s="57"/>
    </row>
    <row r="1006" spans="1:2" x14ac:dyDescent="0.2">
      <c r="A1006" s="57"/>
      <c r="B1006" s="57"/>
    </row>
    <row r="1007" spans="1:2" x14ac:dyDescent="0.2">
      <c r="A1007" s="57"/>
      <c r="B1007" s="57"/>
    </row>
    <row r="1008" spans="1:2" x14ac:dyDescent="0.2">
      <c r="A1008" s="57"/>
      <c r="B1008" s="57"/>
    </row>
    <row r="1009" spans="1:2" x14ac:dyDescent="0.2">
      <c r="A1009" s="57"/>
      <c r="B1009" s="57"/>
    </row>
    <row r="1010" spans="1:2" x14ac:dyDescent="0.2">
      <c r="A1010" s="57"/>
      <c r="B1010" s="57"/>
    </row>
    <row r="1011" spans="1:2" x14ac:dyDescent="0.2">
      <c r="A1011" s="57"/>
      <c r="B1011" s="57"/>
    </row>
    <row r="1012" spans="1:2" x14ac:dyDescent="0.2">
      <c r="A1012" s="57"/>
      <c r="B1012" s="57"/>
    </row>
    <row r="1013" spans="1:2" x14ac:dyDescent="0.2">
      <c r="A1013" s="57"/>
      <c r="B1013" s="57"/>
    </row>
    <row r="1014" spans="1:2" x14ac:dyDescent="0.2">
      <c r="A1014" s="57"/>
      <c r="B1014" s="57"/>
    </row>
    <row r="1015" spans="1:2" x14ac:dyDescent="0.2">
      <c r="A1015" s="57"/>
      <c r="B1015" s="57"/>
    </row>
    <row r="1016" spans="1:2" x14ac:dyDescent="0.2">
      <c r="A1016" s="57"/>
      <c r="B1016" s="57"/>
    </row>
    <row r="1017" spans="1:2" x14ac:dyDescent="0.2">
      <c r="A1017" s="57"/>
      <c r="B1017" s="57"/>
    </row>
    <row r="1018" spans="1:2" x14ac:dyDescent="0.2">
      <c r="A1018" s="57"/>
      <c r="B1018" s="57"/>
    </row>
    <row r="1019" spans="1:2" x14ac:dyDescent="0.2">
      <c r="A1019" s="57"/>
      <c r="B1019" s="57"/>
    </row>
    <row r="1020" spans="1:2" x14ac:dyDescent="0.2">
      <c r="A1020" s="57"/>
      <c r="B1020" s="57"/>
    </row>
  </sheetData>
  <mergeCells count="1">
    <mergeCell ref="U6:V6"/>
  </mergeCells>
  <conditionalFormatting sqref="H11:J40">
    <cfRule type="expression" dxfId="1" priority="1">
      <formula>ISERROR($H11)</formula>
    </cfRule>
  </conditionalFormatting>
  <dataValidations count="1">
    <dataValidation type="list" allowBlank="1" showInputMessage="1" showErrorMessage="1" sqref="L14">
      <formula1>$L$5:$L$11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20"/>
  <sheetViews>
    <sheetView topLeftCell="A3" zoomScale="90" zoomScaleNormal="90" workbookViewId="0">
      <selection activeCell="B3" sqref="B3:B54"/>
    </sheetView>
  </sheetViews>
  <sheetFormatPr defaultColWidth="11.42578125" defaultRowHeight="12.75" x14ac:dyDescent="0.2"/>
  <cols>
    <col min="1" max="2" width="16.140625" style="3" customWidth="1"/>
    <col min="3" max="3" width="17.5703125" style="3" customWidth="1"/>
    <col min="4" max="5" width="5.7109375" style="1" customWidth="1"/>
    <col min="6" max="6" width="7.5703125" style="3" bestFit="1" customWidth="1"/>
    <col min="7" max="7" width="18.42578125" style="1" customWidth="1"/>
    <col min="8" max="10" width="11.42578125" style="1"/>
    <col min="11" max="11" width="5.85546875" style="1" customWidth="1"/>
    <col min="12" max="12" width="17.85546875" style="1" bestFit="1" customWidth="1"/>
    <col min="13" max="14" width="14.140625" style="1" bestFit="1" customWidth="1"/>
    <col min="15" max="18" width="11.42578125" style="1"/>
    <col min="19" max="19" width="5.5703125" style="1" customWidth="1"/>
    <col min="20" max="20" width="5.140625" style="1" customWidth="1"/>
    <col min="21" max="21" width="15.42578125" style="37" customWidth="1"/>
    <col min="22" max="22" width="13.140625" style="1" bestFit="1" customWidth="1"/>
    <col min="23" max="16384" width="11.42578125" style="1"/>
  </cols>
  <sheetData>
    <row r="2" spans="1:22" ht="33" customHeight="1" x14ac:dyDescent="0.2">
      <c r="A2" s="56" t="s">
        <v>39</v>
      </c>
      <c r="B2" s="58" t="s">
        <v>97</v>
      </c>
      <c r="C2" s="58" t="s">
        <v>102</v>
      </c>
      <c r="E2" s="55" t="str">
        <f>"Fréquence des "&amp;tblDataCgi[[#Headers],[Taux de rentabilité CGI]]</f>
        <v>Fréquence des Taux de rentabilité CGI</v>
      </c>
      <c r="G2" s="26" t="s">
        <v>26</v>
      </c>
      <c r="H2" s="31">
        <f>V18</f>
        <v>-7.7501343830930769E-2</v>
      </c>
      <c r="L2" s="34" t="s">
        <v>10</v>
      </c>
      <c r="M2" s="35">
        <f>COUNT(tblDataCgi[Taux de rentabilité CGI])</f>
        <v>51</v>
      </c>
      <c r="O2" s="36"/>
    </row>
    <row r="3" spans="1:22" x14ac:dyDescent="0.2">
      <c r="A3" s="57">
        <v>41974</v>
      </c>
      <c r="B3" s="20">
        <v>36.709999000000003</v>
      </c>
      <c r="C3" s="61"/>
      <c r="G3" s="26" t="s">
        <v>27</v>
      </c>
      <c r="H3" s="31">
        <f>V13</f>
        <v>9.0778985726173406E-2</v>
      </c>
      <c r="I3" s="25"/>
      <c r="J3" s="25"/>
      <c r="M3" s="3"/>
    </row>
    <row r="4" spans="1:22" x14ac:dyDescent="0.2">
      <c r="A4" s="57">
        <v>41981</v>
      </c>
      <c r="B4" s="20">
        <v>34.919998</v>
      </c>
      <c r="C4" s="61">
        <f>(tblDataCgi[[#This Row],[Côte]]-B3)/B3</f>
        <v>-4.8760584275690216E-2</v>
      </c>
      <c r="G4" s="19" t="s">
        <v>23</v>
      </c>
      <c r="H4" s="18">
        <f>H3-H2</f>
        <v>0.16828032955710417</v>
      </c>
      <c r="I4" s="25"/>
      <c r="J4" s="25"/>
      <c r="L4" s="39" t="s">
        <v>13</v>
      </c>
      <c r="M4" s="40" t="s">
        <v>12</v>
      </c>
    </row>
    <row r="5" spans="1:22" x14ac:dyDescent="0.2">
      <c r="A5" s="57">
        <v>41988</v>
      </c>
      <c r="B5" s="20">
        <v>38.090000000000003</v>
      </c>
      <c r="C5" s="61">
        <f>(tblDataCgi[[#This Row],[Côte]]-B4)/B4</f>
        <v>9.0778985726173406E-2</v>
      </c>
      <c r="G5" s="19" t="s">
        <v>24</v>
      </c>
      <c r="H5" s="18">
        <f>H4/M14</f>
        <v>2.4040047079586312E-2</v>
      </c>
      <c r="I5" s="25"/>
      <c r="J5" s="25"/>
      <c r="L5" s="41" t="s">
        <v>14</v>
      </c>
      <c r="M5" s="42">
        <f>INT(SQRT(M2)+1)</f>
        <v>8</v>
      </c>
    </row>
    <row r="6" spans="1:22" x14ac:dyDescent="0.2">
      <c r="A6" s="57">
        <v>41995</v>
      </c>
      <c r="B6" s="20">
        <v>38.709999000000003</v>
      </c>
      <c r="C6" s="61">
        <f>(tblDataCgi[[#This Row],[Côte]]-B5)/B5</f>
        <v>1.6277211866631659E-2</v>
      </c>
      <c r="G6" s="27" t="s">
        <v>38</v>
      </c>
      <c r="H6" s="35">
        <f>COUNTIFS(tblDataCgi[Taux de rentabilité CGI],"&lt;="&amp;H3,tblDataCgi[Taux de rentabilité CGI],"&gt;="&amp;H2)</f>
        <v>51</v>
      </c>
      <c r="I6" s="25"/>
      <c r="J6" s="25"/>
      <c r="L6" s="43" t="s">
        <v>11</v>
      </c>
      <c r="M6" s="44">
        <f>INT(1 + LOG(M2,2))</f>
        <v>6</v>
      </c>
      <c r="U6" s="45" t="s">
        <v>31</v>
      </c>
      <c r="V6" s="45"/>
    </row>
    <row r="7" spans="1:22" x14ac:dyDescent="0.2">
      <c r="A7" s="57">
        <v>42002</v>
      </c>
      <c r="B7" s="20">
        <v>37.900002000000001</v>
      </c>
      <c r="C7" s="61">
        <f>(tblDataCgi[[#This Row],[Côte]]-B6)/B6</f>
        <v>-2.0924748667650511E-2</v>
      </c>
      <c r="G7" s="65" t="s">
        <v>41</v>
      </c>
      <c r="H7" s="62">
        <f>_xlfn.STDEV.S(tblDataCgi[Taux de rentabilité CGI])</f>
        <v>3.2916765905044429E-2</v>
      </c>
      <c r="L7" s="43" t="s">
        <v>15</v>
      </c>
      <c r="M7" s="44">
        <f>INT(2*M2^(1/3))</f>
        <v>7</v>
      </c>
      <c r="N7" s="3"/>
    </row>
    <row r="8" spans="1:22" x14ac:dyDescent="0.2">
      <c r="A8" s="57">
        <v>42009</v>
      </c>
      <c r="B8" s="20">
        <v>37.619999</v>
      </c>
      <c r="C8" s="61">
        <f>(tblDataCgi[[#This Row],[Côte]]-B7)/B7</f>
        <v>-7.3879415626416237E-3</v>
      </c>
      <c r="G8" s="65" t="s">
        <v>96</v>
      </c>
      <c r="H8" s="62">
        <f>AVERAGE(tblDataCgi[Taux de rentabilité CGI])</f>
        <v>3.6651418810500578E-3</v>
      </c>
      <c r="L8" s="43" t="s">
        <v>16</v>
      </c>
      <c r="M8" s="44">
        <f>INT(1+LOG(M2,2)+LOG(1+P8/R8,2))</f>
        <v>7</v>
      </c>
      <c r="N8" s="46" t="s">
        <v>25</v>
      </c>
      <c r="O8" s="47" t="s">
        <v>19</v>
      </c>
      <c r="P8" s="48">
        <f>ABS(SKEW(tblDataCgi[Taux de rentabilité CGI]))</f>
        <v>0.16672149201676342</v>
      </c>
      <c r="Q8" s="47" t="s">
        <v>18</v>
      </c>
      <c r="R8" s="48">
        <f>SQRT((6*(M2-2))/((M2+1)*(M2+3)))</f>
        <v>0.32357511446471698</v>
      </c>
      <c r="U8" s="37" t="s">
        <v>30</v>
      </c>
      <c r="V8" s="1">
        <f>COUNT(tblDataCgi[Taux de rentabilité CGI])</f>
        <v>51</v>
      </c>
    </row>
    <row r="9" spans="1:22" x14ac:dyDescent="0.2">
      <c r="A9" s="57">
        <v>42016</v>
      </c>
      <c r="B9" s="20">
        <v>38.939999</v>
      </c>
      <c r="C9" s="61">
        <f>(tblDataCgi[[#This Row],[Côte]]-B8)/B8</f>
        <v>3.508772023093356E-2</v>
      </c>
      <c r="L9" s="43" t="s">
        <v>17</v>
      </c>
      <c r="M9" s="44">
        <f>INT(3.5*_xlfn.STDEV.S(tblDataCgi[Taux de rentabilité CGI])/(M2^(1/3)))</f>
        <v>0</v>
      </c>
      <c r="N9" s="3"/>
      <c r="U9" s="37" t="s">
        <v>3</v>
      </c>
      <c r="V9" s="15">
        <f>V15-V17</f>
        <v>3.0106652651132385E-2</v>
      </c>
    </row>
    <row r="10" spans="1:22" x14ac:dyDescent="0.2">
      <c r="A10" s="57">
        <v>42024</v>
      </c>
      <c r="B10" s="20">
        <v>38.900002000000001</v>
      </c>
      <c r="C10" s="61">
        <f>(tblDataCgi[[#This Row],[Côte]]-B9)/B9</f>
        <v>-1.0271443509795575E-3</v>
      </c>
      <c r="F10" s="21" t="s">
        <v>8</v>
      </c>
      <c r="G10" s="22" t="s">
        <v>9</v>
      </c>
      <c r="H10" s="22" t="s">
        <v>35</v>
      </c>
      <c r="I10" s="22" t="s">
        <v>36</v>
      </c>
      <c r="J10" s="12" t="s">
        <v>37</v>
      </c>
      <c r="L10" s="49" t="s">
        <v>21</v>
      </c>
      <c r="M10" s="44">
        <f>INT(2*P10/(M2^(1/3)))</f>
        <v>0</v>
      </c>
      <c r="N10" s="46" t="s">
        <v>25</v>
      </c>
      <c r="O10" s="47" t="s">
        <v>20</v>
      </c>
      <c r="P10" s="48">
        <f>_xlfn.QUARTILE.INC(tblDataCgi[Taux de rentabilité CGI],3) - _xlfn.QUARTILE.INC(tblDataCgi[Taux de rentabilité CGI],1)</f>
        <v>3.0106652651132385E-2</v>
      </c>
      <c r="U10" s="37" t="s">
        <v>6</v>
      </c>
      <c r="V10" s="50">
        <v>1.5</v>
      </c>
    </row>
    <row r="11" spans="1:22" x14ac:dyDescent="0.2">
      <c r="A11" s="57">
        <v>42030</v>
      </c>
      <c r="B11" s="20">
        <v>39.599997999999999</v>
      </c>
      <c r="C11" s="61">
        <f>(tblDataCgi[[#This Row],[Côte]]-B10)/B10</f>
        <v>1.7994754858881464E-2</v>
      </c>
      <c r="F11" s="8">
        <v>1</v>
      </c>
      <c r="G11" s="59">
        <f>H2</f>
        <v>-7.7501343830930769E-2</v>
      </c>
      <c r="H11" s="9">
        <f t="array" ref="H11:H40">FREQUENCY(tblDataCgi[Taux de rentabilité CGI],G11:G40)</f>
        <v>1</v>
      </c>
      <c r="I11" s="13">
        <f>IF(F11&lt;&gt;"",H11/$H$6,"")</f>
        <v>1.9607843137254902E-2</v>
      </c>
      <c r="J11" s="28">
        <f>I11</f>
        <v>1.9607843137254902E-2</v>
      </c>
      <c r="L11" s="51" t="s">
        <v>34</v>
      </c>
      <c r="M11" s="52">
        <v>15</v>
      </c>
    </row>
    <row r="12" spans="1:22" x14ac:dyDescent="0.2">
      <c r="A12" s="57">
        <v>42037</v>
      </c>
      <c r="B12" s="20">
        <v>41.279998999999997</v>
      </c>
      <c r="C12" s="61">
        <f>(tblDataCgi[[#This Row],[Côte]]-B11)/B11</f>
        <v>4.2424269819407494E-2</v>
      </c>
      <c r="F12" s="8">
        <f>IFERROR(IF(F11-2&lt;$M$14,F11+1,""),"")</f>
        <v>2</v>
      </c>
      <c r="G12" s="59">
        <f>IFERROR(IF(G11+$H$5&gt;$H$3+$H$5,"",G11+$H$5),"")</f>
        <v>-5.3461296751344457E-2</v>
      </c>
      <c r="H12" s="9">
        <v>1</v>
      </c>
      <c r="I12" s="13">
        <f>IF(F12&lt;&gt;"",H12/$H$6,"")</f>
        <v>1.9607843137254902E-2</v>
      </c>
      <c r="J12" s="28">
        <f>IF(I12&lt;&gt;"",I12+J11,"")</f>
        <v>3.9215686274509803E-2</v>
      </c>
      <c r="U12" s="4" t="s">
        <v>29</v>
      </c>
      <c r="V12" s="16">
        <f>COUNTIF(tblDataCgi[Taux de rentabilité CGI],"&gt;"&amp;V13)</f>
        <v>0</v>
      </c>
    </row>
    <row r="13" spans="1:22" x14ac:dyDescent="0.2">
      <c r="A13" s="57">
        <v>42044</v>
      </c>
      <c r="B13" s="20">
        <v>41.900002000000001</v>
      </c>
      <c r="C13" s="61">
        <f>(tblDataCgi[[#This Row],[Côte]]-B12)/B12</f>
        <v>1.501945288322328E-2</v>
      </c>
      <c r="F13" s="8">
        <f t="shared" ref="F13:F40" si="0">IFERROR(IF(F12-2&lt;$M$14,F12+1,""),"")</f>
        <v>3</v>
      </c>
      <c r="G13" s="59">
        <f>IFERROR(IF(G12+$H$5&gt;$H$3+$H$5,"",G12+$H$5),"")</f>
        <v>-2.9421249671758146E-2</v>
      </c>
      <c r="H13" s="9">
        <v>6</v>
      </c>
      <c r="I13" s="13">
        <f>IF(F13&lt;&gt;"",H13/$H$6,"")</f>
        <v>0.11764705882352941</v>
      </c>
      <c r="J13" s="28">
        <f>IF(I13&lt;&gt;"",I13+J12,"")</f>
        <v>0.15686274509803921</v>
      </c>
      <c r="L13" s="34" t="s">
        <v>22</v>
      </c>
      <c r="M13" s="12" t="s">
        <v>12</v>
      </c>
      <c r="U13" s="4" t="s">
        <v>27</v>
      </c>
      <c r="V13" s="17">
        <f>V14</f>
        <v>9.0778985726173406E-2</v>
      </c>
    </row>
    <row r="14" spans="1:22" x14ac:dyDescent="0.2">
      <c r="A14" s="57">
        <v>42052</v>
      </c>
      <c r="B14" s="20">
        <v>41.610000999999997</v>
      </c>
      <c r="C14" s="61">
        <f>(tblDataCgi[[#This Row],[Côte]]-B13)/B13</f>
        <v>-6.9212645860972444E-3</v>
      </c>
      <c r="F14" s="8">
        <f t="shared" si="0"/>
        <v>4</v>
      </c>
      <c r="G14" s="59">
        <f>IFERROR(IF(G13+$H$5&gt;$H$3+$H$5,"",G13+$H$5),"")</f>
        <v>-5.381202592171834E-3</v>
      </c>
      <c r="H14" s="9">
        <v>10</v>
      </c>
      <c r="I14" s="13">
        <f>IF(F14&lt;&gt;"",H14/$H$6,"")</f>
        <v>0.19607843137254902</v>
      </c>
      <c r="J14" s="28">
        <f>IF(I14&lt;&gt;"",I14+J13,"")</f>
        <v>0.3529411764705882</v>
      </c>
      <c r="L14" s="50" t="s">
        <v>15</v>
      </c>
      <c r="M14" s="53">
        <f>VLOOKUP($L$14,$L$5:$M$11,2,FALSE)</f>
        <v>7</v>
      </c>
      <c r="U14" s="4" t="s">
        <v>1</v>
      </c>
      <c r="V14" s="17">
        <f>MAX(tblDataCgi[Taux de rentabilité CGI])</f>
        <v>9.0778985726173406E-2</v>
      </c>
    </row>
    <row r="15" spans="1:22" x14ac:dyDescent="0.2">
      <c r="A15" s="57">
        <v>42058</v>
      </c>
      <c r="B15" s="20">
        <v>41.810001</v>
      </c>
      <c r="C15" s="61">
        <f>(tblDataCgi[[#This Row],[Côte]]-B14)/B14</f>
        <v>4.8065367746567191E-3</v>
      </c>
      <c r="F15" s="8">
        <f t="shared" si="0"/>
        <v>5</v>
      </c>
      <c r="G15" s="59">
        <f>IFERROR(IF(G14+$H$5&gt;$H$3+$H$5,"",G14+$H$5),"")</f>
        <v>1.8658844487414478E-2</v>
      </c>
      <c r="H15" s="9">
        <v>19</v>
      </c>
      <c r="I15" s="13">
        <f>IF(F15&lt;&gt;"",H15/$H$6,"")</f>
        <v>0.37254901960784315</v>
      </c>
      <c r="J15" s="28">
        <f t="shared" ref="J15:J40" si="1">IF(I15&lt;&gt;"",I15+J14,"")</f>
        <v>0.72549019607843135</v>
      </c>
      <c r="U15" s="4" t="s">
        <v>2</v>
      </c>
      <c r="V15" s="17">
        <f>_xlfn.QUARTILE.INC(tblDataCgi[Taux de rentabilité CGI],3)</f>
        <v>2.1334271547911864E-2</v>
      </c>
    </row>
    <row r="16" spans="1:22" x14ac:dyDescent="0.2">
      <c r="A16" s="57">
        <v>42065</v>
      </c>
      <c r="B16" s="20">
        <v>41.959999000000003</v>
      </c>
      <c r="C16" s="61">
        <f>(tblDataCgi[[#This Row],[Côte]]-B15)/B15</f>
        <v>3.5876105336616381E-3</v>
      </c>
      <c r="F16" s="8">
        <f t="shared" si="0"/>
        <v>6</v>
      </c>
      <c r="G16" s="59">
        <f>IFERROR(IF(G15+$H$5&gt;$H$3+$H$5,"",G15+$H$5),"")</f>
        <v>4.2698891567000789E-2</v>
      </c>
      <c r="H16" s="9">
        <v>10</v>
      </c>
      <c r="I16" s="13">
        <f>IF(F16&lt;&gt;"",H16/$H$6,"")</f>
        <v>0.19607843137254902</v>
      </c>
      <c r="J16" s="28">
        <f t="shared" si="1"/>
        <v>0.92156862745098034</v>
      </c>
      <c r="U16" s="4" t="s">
        <v>7</v>
      </c>
      <c r="V16" s="17">
        <f>_xlfn.QUARTILE.INC(tblDataCgi[Taux de rentabilité CGI],2)</f>
        <v>8.1029553885355494E-3</v>
      </c>
    </row>
    <row r="17" spans="1:22" x14ac:dyDescent="0.2">
      <c r="A17" s="57">
        <v>42072</v>
      </c>
      <c r="B17" s="20">
        <v>42.299999</v>
      </c>
      <c r="C17" s="61">
        <f>(tblDataCgi[[#This Row],[Côte]]-B16)/B16</f>
        <v>8.1029553885355494E-3</v>
      </c>
      <c r="F17" s="8">
        <f t="shared" si="0"/>
        <v>7</v>
      </c>
      <c r="G17" s="59">
        <f>IFERROR(IF(G16+$H$5&gt;$H$3+$H$5,"",G16+$H$5),"")</f>
        <v>6.6738938646587101E-2</v>
      </c>
      <c r="H17" s="9">
        <v>2</v>
      </c>
      <c r="I17" s="13">
        <f>IF(F17&lt;&gt;"",H17/$H$6,"")</f>
        <v>3.9215686274509803E-2</v>
      </c>
      <c r="J17" s="28">
        <f t="shared" si="1"/>
        <v>0.96078431372549011</v>
      </c>
      <c r="U17" s="4" t="s">
        <v>4</v>
      </c>
      <c r="V17" s="17">
        <f>_xlfn.QUARTILE.INC(tblDataCgi[Taux de rentabilité CGI],1)</f>
        <v>-8.7723811032205216E-3</v>
      </c>
    </row>
    <row r="18" spans="1:22" x14ac:dyDescent="0.2">
      <c r="A18" s="57">
        <v>42079</v>
      </c>
      <c r="B18" s="20">
        <v>43.490001999999997</v>
      </c>
      <c r="C18" s="61">
        <f>(tblDataCgi[[#This Row],[Côte]]-B17)/B17</f>
        <v>2.8132459293911501E-2</v>
      </c>
      <c r="F18" s="8">
        <f t="shared" si="0"/>
        <v>8</v>
      </c>
      <c r="G18" s="59">
        <f>IFERROR(IF(G17+$H$5&gt;$H$3+$H$5,"",G17+$H$5),"")</f>
        <v>9.0778985726173406E-2</v>
      </c>
      <c r="H18" s="9">
        <v>2</v>
      </c>
      <c r="I18" s="13">
        <f>IF(F18&lt;&gt;"",H18/$H$6,"")</f>
        <v>3.9215686274509803E-2</v>
      </c>
      <c r="J18" s="28">
        <f t="shared" si="1"/>
        <v>0.99999999999999989</v>
      </c>
      <c r="U18" s="4" t="s">
        <v>0</v>
      </c>
      <c r="V18" s="17">
        <f>MIN(tblDataCgi[Taux de rentabilité CGI])</f>
        <v>-7.7501343830930769E-2</v>
      </c>
    </row>
    <row r="19" spans="1:22" x14ac:dyDescent="0.2">
      <c r="A19" s="57">
        <v>42086</v>
      </c>
      <c r="B19" s="20">
        <v>43.110000999999997</v>
      </c>
      <c r="C19" s="61">
        <f>(tblDataCgi[[#This Row],[Côte]]-B18)/B18</f>
        <v>-8.7376634289416701E-3</v>
      </c>
      <c r="F19" s="8">
        <f t="shared" si="0"/>
        <v>9</v>
      </c>
      <c r="G19" s="59">
        <f>IFERROR(IF(G18+$H$5&gt;$H$3+$H$5,"",G18+$H$5),"")</f>
        <v>0.11481903280575972</v>
      </c>
      <c r="H19" s="9">
        <v>0</v>
      </c>
      <c r="I19" s="13">
        <f>IF(F19&lt;&gt;"",H19/$H$6,"")</f>
        <v>0</v>
      </c>
      <c r="J19" s="28">
        <f t="shared" si="1"/>
        <v>0.99999999999999989</v>
      </c>
      <c r="U19" s="4" t="s">
        <v>26</v>
      </c>
      <c r="V19" s="17">
        <f>V18</f>
        <v>-7.7501343830930769E-2</v>
      </c>
    </row>
    <row r="20" spans="1:22" x14ac:dyDescent="0.2">
      <c r="A20" s="57">
        <v>42093</v>
      </c>
      <c r="B20" s="20">
        <v>43.009998000000003</v>
      </c>
      <c r="C20" s="61">
        <f>(tblDataCgi[[#This Row],[Côte]]-B19)/B19</f>
        <v>-2.319716949206145E-3</v>
      </c>
      <c r="F20" s="8" t="str">
        <f t="shared" si="0"/>
        <v/>
      </c>
      <c r="G20" s="59" t="str">
        <f>IFERROR(IF(G19+$H$5&gt;$H$3+$H$5,"",G19+$H$5),"")</f>
        <v/>
      </c>
      <c r="H20" s="9">
        <v>0</v>
      </c>
      <c r="I20" s="13" t="str">
        <f>IF(F20&lt;&gt;"",H20/$H$6,"")</f>
        <v/>
      </c>
      <c r="J20" s="28" t="str">
        <f t="shared" si="1"/>
        <v/>
      </c>
      <c r="U20" s="4" t="s">
        <v>28</v>
      </c>
      <c r="V20" s="16">
        <f>COUNTIF(tblDataCgi[Taux de rentabilité CGI],"&lt;"&amp;V19)</f>
        <v>0</v>
      </c>
    </row>
    <row r="21" spans="1:22" x14ac:dyDescent="0.2">
      <c r="A21" s="57">
        <v>42100</v>
      </c>
      <c r="B21" s="20">
        <v>44.540000999999997</v>
      </c>
      <c r="C21" s="61">
        <f>(tblDataCgi[[#This Row],[Côte]]-B20)/B20</f>
        <v>3.557319393504723E-2</v>
      </c>
      <c r="F21" s="8" t="str">
        <f t="shared" si="0"/>
        <v/>
      </c>
      <c r="G21" s="59" t="str">
        <f>IFERROR(IF(G20+$H$5&gt;$H$3+$H$5,"",G20+$H$5),"")</f>
        <v/>
      </c>
      <c r="H21" s="9" t="e">
        <v>#N/A</v>
      </c>
      <c r="I21" s="13" t="str">
        <f>IF(F21&lt;&gt;"",H21/$H$6,"")</f>
        <v/>
      </c>
      <c r="J21" s="28" t="str">
        <f t="shared" si="1"/>
        <v/>
      </c>
    </row>
    <row r="22" spans="1:22" x14ac:dyDescent="0.2">
      <c r="A22" s="57">
        <v>42107</v>
      </c>
      <c r="B22" s="20">
        <v>45.130001</v>
      </c>
      <c r="C22" s="61">
        <f>(tblDataCgi[[#This Row],[Côte]]-B21)/B21</f>
        <v>1.3246519684631428E-2</v>
      </c>
      <c r="F22" s="8" t="str">
        <f t="shared" si="0"/>
        <v/>
      </c>
      <c r="G22" s="59" t="str">
        <f>IFERROR(IF(G21+$H$5&gt;$H$3+$H$5,"",G21+$H$5),"")</f>
        <v/>
      </c>
      <c r="H22" s="9" t="e">
        <v>#N/A</v>
      </c>
      <c r="I22" s="13" t="str">
        <f>IF(F22&lt;&gt;"",H22/$H$6,"")</f>
        <v/>
      </c>
      <c r="J22" s="28" t="str">
        <f t="shared" si="1"/>
        <v/>
      </c>
      <c r="U22" s="54" t="s">
        <v>5</v>
      </c>
      <c r="V22" s="15">
        <f>AVERAGE(tblDataCgi[Taux de rentabilité CGI])</f>
        <v>3.6651418810500578E-3</v>
      </c>
    </row>
    <row r="23" spans="1:22" x14ac:dyDescent="0.2">
      <c r="A23" s="57">
        <v>42114</v>
      </c>
      <c r="B23" s="20">
        <v>45.669998</v>
      </c>
      <c r="C23" s="61">
        <f>(tblDataCgi[[#This Row],[Côte]]-B22)/B22</f>
        <v>1.1965366453238049E-2</v>
      </c>
      <c r="F23" s="8" t="str">
        <f t="shared" si="0"/>
        <v/>
      </c>
      <c r="G23" s="59" t="str">
        <f>IFERROR(IF(G22+$H$5&gt;$H$3+$H$5,"",G22+$H$5),"")</f>
        <v/>
      </c>
      <c r="H23" s="9" t="e">
        <v>#N/A</v>
      </c>
      <c r="I23" s="13" t="str">
        <f>IF(F23&lt;&gt;"",H23/$H$6,"")</f>
        <v/>
      </c>
      <c r="J23" s="28" t="str">
        <f t="shared" si="1"/>
        <v/>
      </c>
      <c r="U23" s="54" t="s">
        <v>32</v>
      </c>
      <c r="V23" s="15" t="e">
        <f>_xlfn.MODE.SNGL(tblDataCgi[Taux de rentabilité CGI])</f>
        <v>#N/A</v>
      </c>
    </row>
    <row r="24" spans="1:22" x14ac:dyDescent="0.2">
      <c r="A24" s="57">
        <v>42121</v>
      </c>
      <c r="B24" s="20">
        <v>42.439999</v>
      </c>
      <c r="C24" s="61">
        <f>(tblDataCgi[[#This Row],[Côte]]-B23)/B23</f>
        <v>-7.072474581671756E-2</v>
      </c>
      <c r="F24" s="8" t="str">
        <f t="shared" si="0"/>
        <v/>
      </c>
      <c r="G24" s="59" t="str">
        <f>IFERROR(IF(G23+$H$5&gt;$H$3+$H$5,"",G23+$H$5),"")</f>
        <v/>
      </c>
      <c r="H24" s="9" t="e">
        <v>#N/A</v>
      </c>
      <c r="I24" s="13" t="str">
        <f>IF(F24&lt;&gt;"",H24/$H$6,"")</f>
        <v/>
      </c>
      <c r="J24" s="28" t="str">
        <f t="shared" si="1"/>
        <v/>
      </c>
      <c r="U24" s="38" t="s">
        <v>33</v>
      </c>
      <c r="V24" s="1">
        <f>COUNTIF(tblDataCgi[Taux de rentabilité CGI],V23)</f>
        <v>0</v>
      </c>
    </row>
    <row r="25" spans="1:22" x14ac:dyDescent="0.2">
      <c r="A25" s="57">
        <v>42128</v>
      </c>
      <c r="B25" s="20">
        <v>43.43</v>
      </c>
      <c r="C25" s="61">
        <f>(tblDataCgi[[#This Row],[Côte]]-B24)/B24</f>
        <v>2.3327074065199658E-2</v>
      </c>
      <c r="F25" s="8" t="str">
        <f t="shared" si="0"/>
        <v/>
      </c>
      <c r="G25" s="59" t="str">
        <f>IFERROR(IF(G24+$H$5&gt;$H$3+$H$5,"",G24+$H$5),"")</f>
        <v/>
      </c>
      <c r="H25" s="9" t="e">
        <v>#N/A</v>
      </c>
      <c r="I25" s="13" t="str">
        <f>IF(F25&lt;&gt;"",H25/$H$6,"")</f>
        <v/>
      </c>
      <c r="J25" s="28" t="str">
        <f t="shared" si="1"/>
        <v/>
      </c>
      <c r="V25" s="14"/>
    </row>
    <row r="26" spans="1:22" x14ac:dyDescent="0.2">
      <c r="A26" s="57">
        <v>42135</v>
      </c>
      <c r="B26" s="20">
        <v>44.27</v>
      </c>
      <c r="C26" s="61">
        <f>(tblDataCgi[[#This Row],[Côte]]-B25)/B25</f>
        <v>1.9341469030624073E-2</v>
      </c>
      <c r="F26" s="8" t="str">
        <f t="shared" si="0"/>
        <v/>
      </c>
      <c r="G26" s="59" t="str">
        <f>IFERROR(IF(G25+$H$5&gt;$H$3+$H$5,"",G25+$H$5),"")</f>
        <v/>
      </c>
      <c r="H26" s="9" t="e">
        <v>#N/A</v>
      </c>
      <c r="I26" s="13" t="str">
        <f>IF(F26&lt;&gt;"",H26/$H$6,"")</f>
        <v/>
      </c>
      <c r="J26" s="28" t="str">
        <f t="shared" si="1"/>
        <v/>
      </c>
      <c r="V26" s="14"/>
    </row>
    <row r="27" spans="1:22" x14ac:dyDescent="0.2">
      <c r="A27" s="57">
        <v>42142</v>
      </c>
      <c r="B27" s="20">
        <v>43.330002</v>
      </c>
      <c r="C27" s="61">
        <f>(tblDataCgi[[#This Row],[Côte]]-B26)/B26</f>
        <v>-2.1233295685565909E-2</v>
      </c>
      <c r="F27" s="8" t="str">
        <f t="shared" si="0"/>
        <v/>
      </c>
      <c r="G27" s="59" t="str">
        <f>IFERROR(IF(G26+$H$5&gt;$H$3+$H$5,"",G26+$H$5),"")</f>
        <v/>
      </c>
      <c r="H27" s="9" t="e">
        <v>#N/A</v>
      </c>
      <c r="I27" s="13" t="str">
        <f>IF(F27&lt;&gt;"",H27/$H$6,"")</f>
        <v/>
      </c>
      <c r="J27" s="28" t="str">
        <f t="shared" si="1"/>
        <v/>
      </c>
      <c r="V27" s="14"/>
    </row>
    <row r="28" spans="1:22" x14ac:dyDescent="0.2">
      <c r="A28" s="57">
        <v>42150</v>
      </c>
      <c r="B28" s="20">
        <v>42.380001</v>
      </c>
      <c r="C28" s="61">
        <f>(tblDataCgi[[#This Row],[Côte]]-B27)/B27</f>
        <v>-2.1924785510049141E-2</v>
      </c>
      <c r="F28" s="8" t="str">
        <f t="shared" si="0"/>
        <v/>
      </c>
      <c r="G28" s="59" t="str">
        <f>IFERROR(IF(G27+$H$5&gt;$H$3+$H$5,"",G27+$H$5),"")</f>
        <v/>
      </c>
      <c r="H28" s="9" t="e">
        <v>#N/A</v>
      </c>
      <c r="I28" s="13" t="str">
        <f>IF(F28&lt;&gt;"",H28/$H$6,"")</f>
        <v/>
      </c>
      <c r="J28" s="28" t="str">
        <f t="shared" si="1"/>
        <v/>
      </c>
      <c r="V28" s="14"/>
    </row>
    <row r="29" spans="1:22" x14ac:dyDescent="0.2">
      <c r="A29" s="57">
        <v>42156</v>
      </c>
      <c r="B29" s="20">
        <v>42.389999000000003</v>
      </c>
      <c r="C29" s="61">
        <f>(tblDataCgi[[#This Row],[Côte]]-B28)/B28</f>
        <v>2.3591316102147E-4</v>
      </c>
      <c r="F29" s="8" t="str">
        <f t="shared" si="0"/>
        <v/>
      </c>
      <c r="G29" s="59" t="str">
        <f>IFERROR(IF(G28+$H$5&gt;$H$3+$H$5,"",G28+$H$5),"")</f>
        <v/>
      </c>
      <c r="H29" s="9" t="e">
        <v>#N/A</v>
      </c>
      <c r="I29" s="13" t="str">
        <f>IF(F29&lt;&gt;"",H29/$H$6,"")</f>
        <v/>
      </c>
      <c r="J29" s="28" t="str">
        <f t="shared" si="1"/>
        <v/>
      </c>
      <c r="V29" s="14"/>
    </row>
    <row r="30" spans="1:22" x14ac:dyDescent="0.2">
      <c r="A30" s="57">
        <v>42163</v>
      </c>
      <c r="B30" s="20">
        <v>42.790000999999997</v>
      </c>
      <c r="C30" s="61">
        <f>(tblDataCgi[[#This Row],[Côte]]-B29)/B29</f>
        <v>9.4362351836807905E-3</v>
      </c>
      <c r="F30" s="8" t="str">
        <f t="shared" si="0"/>
        <v/>
      </c>
      <c r="G30" s="59" t="str">
        <f>IFERROR(IF(G29+$H$5&gt;$H$3+$H$5,"",G29+$H$5),"")</f>
        <v/>
      </c>
      <c r="H30" s="9" t="e">
        <v>#N/A</v>
      </c>
      <c r="I30" s="13" t="str">
        <f>IF(F30&lt;&gt;"",H30/$H$6,"")</f>
        <v/>
      </c>
      <c r="J30" s="28" t="str">
        <f t="shared" si="1"/>
        <v/>
      </c>
      <c r="V30" s="14"/>
    </row>
    <row r="31" spans="1:22" x14ac:dyDescent="0.2">
      <c r="A31" s="57">
        <v>42170</v>
      </c>
      <c r="B31" s="20">
        <v>40.509998000000003</v>
      </c>
      <c r="C31" s="61">
        <f>(tblDataCgi[[#This Row],[Côte]]-B30)/B30</f>
        <v>-5.3283546312606858E-2</v>
      </c>
      <c r="F31" s="8" t="str">
        <f t="shared" si="0"/>
        <v/>
      </c>
      <c r="G31" s="59" t="str">
        <f>IFERROR(IF(G30+$H$5&gt;$H$3+$H$5,"",G30+$H$5),"")</f>
        <v/>
      </c>
      <c r="H31" s="9" t="e">
        <v>#N/A</v>
      </c>
      <c r="I31" s="13" t="str">
        <f>IF(F31&lt;&gt;"",H31/$H$6,"")</f>
        <v/>
      </c>
      <c r="J31" s="28" t="str">
        <f t="shared" si="1"/>
        <v/>
      </c>
      <c r="V31" s="14"/>
    </row>
    <row r="32" spans="1:22" x14ac:dyDescent="0.2">
      <c r="A32" s="57">
        <v>42177</v>
      </c>
      <c r="B32" s="20">
        <v>41.57</v>
      </c>
      <c r="C32" s="61">
        <f>(tblDataCgi[[#This Row],[Côte]]-B31)/B31</f>
        <v>2.6166429334308957E-2</v>
      </c>
      <c r="F32" s="8" t="str">
        <f t="shared" si="0"/>
        <v/>
      </c>
      <c r="G32" s="59" t="str">
        <f>IFERROR(IF(G31+$H$5&gt;$H$3+$H$5,"",G31+$H$5),"")</f>
        <v/>
      </c>
      <c r="H32" s="9" t="e">
        <v>#N/A</v>
      </c>
      <c r="I32" s="13" t="str">
        <f>IF(F32&lt;&gt;"",H32/$H$6,"")</f>
        <v/>
      </c>
      <c r="J32" s="28" t="str">
        <f t="shared" si="1"/>
        <v/>
      </c>
      <c r="V32" s="14"/>
    </row>
    <row r="33" spans="1:22" x14ac:dyDescent="0.2">
      <c r="A33" s="57">
        <v>42184</v>
      </c>
      <c r="B33" s="20">
        <v>39.840000000000003</v>
      </c>
      <c r="C33" s="61">
        <f>(tblDataCgi[[#This Row],[Côte]]-B32)/B32</f>
        <v>-4.1616550396920783E-2</v>
      </c>
      <c r="F33" s="8" t="str">
        <f t="shared" si="0"/>
        <v/>
      </c>
      <c r="G33" s="59" t="str">
        <f>IFERROR(IF(G32+$H$5&gt;$H$3+$H$5,"",G32+$H$5),"")</f>
        <v/>
      </c>
      <c r="H33" s="9" t="e">
        <v>#N/A</v>
      </c>
      <c r="I33" s="13" t="str">
        <f>IF(F33&lt;&gt;"",H33/$H$6,"")</f>
        <v/>
      </c>
      <c r="J33" s="28" t="str">
        <f t="shared" si="1"/>
        <v/>
      </c>
      <c r="V33" s="14"/>
    </row>
    <row r="34" spans="1:22" x14ac:dyDescent="0.2">
      <c r="A34" s="57">
        <v>42191</v>
      </c>
      <c r="B34" s="20">
        <v>38.93</v>
      </c>
      <c r="C34" s="61">
        <f>(tblDataCgi[[#This Row],[Côte]]-B33)/B33</f>
        <v>-2.2841365461847479E-2</v>
      </c>
      <c r="F34" s="8" t="str">
        <f t="shared" si="0"/>
        <v/>
      </c>
      <c r="G34" s="59" t="str">
        <f>IFERROR(IF(G33+$H$5&gt;$H$3+$H$5,"",G33+$H$5),"")</f>
        <v/>
      </c>
      <c r="H34" s="9" t="e">
        <v>#N/A</v>
      </c>
      <c r="I34" s="13" t="str">
        <f>IF(F34&lt;&gt;"",H34/$H$6,"")</f>
        <v/>
      </c>
      <c r="J34" s="28" t="str">
        <f t="shared" si="1"/>
        <v/>
      </c>
    </row>
    <row r="35" spans="1:22" x14ac:dyDescent="0.2">
      <c r="A35" s="57">
        <v>42198</v>
      </c>
      <c r="B35" s="20">
        <v>40.25</v>
      </c>
      <c r="C35" s="61">
        <f>(tblDataCgi[[#This Row],[Côte]]-B34)/B34</f>
        <v>3.3907012586694076E-2</v>
      </c>
      <c r="F35" s="8" t="str">
        <f t="shared" si="0"/>
        <v/>
      </c>
      <c r="G35" s="59" t="str">
        <f>IFERROR(IF(G34+$H$5&gt;$H$3+$H$5,"",G34+$H$5),"")</f>
        <v/>
      </c>
      <c r="H35" s="9" t="e">
        <v>#N/A</v>
      </c>
      <c r="I35" s="13" t="str">
        <f>IF(F35&lt;&gt;"",H35/$H$6,"")</f>
        <v/>
      </c>
      <c r="J35" s="28" t="str">
        <f t="shared" si="1"/>
        <v/>
      </c>
    </row>
    <row r="36" spans="1:22" x14ac:dyDescent="0.2">
      <c r="A36" s="57">
        <v>42205</v>
      </c>
      <c r="B36" s="20">
        <v>38.909999999999997</v>
      </c>
      <c r="C36" s="61">
        <f>(tblDataCgi[[#This Row],[Côte]]-B35)/B35</f>
        <v>-3.3291925465838597E-2</v>
      </c>
      <c r="F36" s="8" t="str">
        <f t="shared" si="0"/>
        <v/>
      </c>
      <c r="G36" s="59" t="str">
        <f>IFERROR(IF(G35+$H$5&gt;$H$3+$H$5,"",G35+$H$5),"")</f>
        <v/>
      </c>
      <c r="H36" s="9" t="e">
        <v>#N/A</v>
      </c>
      <c r="I36" s="13" t="str">
        <f>IF(F36&lt;&gt;"",H36/$H$6,"")</f>
        <v/>
      </c>
      <c r="J36" s="28" t="str">
        <f t="shared" si="1"/>
        <v/>
      </c>
    </row>
    <row r="37" spans="1:22" x14ac:dyDescent="0.2">
      <c r="A37" s="57">
        <v>42212</v>
      </c>
      <c r="B37" s="20">
        <v>37.340000000000003</v>
      </c>
      <c r="C37" s="61">
        <f>(tblDataCgi[[#This Row],[Côte]]-B36)/B36</f>
        <v>-4.0349524543818897E-2</v>
      </c>
      <c r="F37" s="8" t="str">
        <f t="shared" si="0"/>
        <v/>
      </c>
      <c r="G37" s="59" t="str">
        <f>IFERROR(IF(G36+$H$5&gt;$H$3+$H$5,"",G36+$H$5),"")</f>
        <v/>
      </c>
      <c r="H37" s="9" t="e">
        <v>#N/A</v>
      </c>
      <c r="I37" s="13" t="str">
        <f>IF(F37&lt;&gt;"",H37/$H$6,"")</f>
        <v/>
      </c>
      <c r="J37" s="28" t="str">
        <f t="shared" si="1"/>
        <v/>
      </c>
    </row>
    <row r="38" spans="1:22" x14ac:dyDescent="0.2">
      <c r="A38" s="57">
        <v>42219</v>
      </c>
      <c r="B38" s="20">
        <v>38.029998999999997</v>
      </c>
      <c r="C38" s="61">
        <f>(tblDataCgi[[#This Row],[Côte]]-B37)/B37</f>
        <v>1.8478816282806457E-2</v>
      </c>
      <c r="F38" s="8" t="str">
        <f t="shared" si="0"/>
        <v/>
      </c>
      <c r="G38" s="59" t="str">
        <f>IFERROR(IF(G37+$H$5&gt;$H$3+$H$5,"",G37+$H$5),"")</f>
        <v/>
      </c>
      <c r="H38" s="9" t="e">
        <v>#N/A</v>
      </c>
      <c r="I38" s="13" t="str">
        <f>IF(F38&lt;&gt;"",H38/$H$6,"")</f>
        <v/>
      </c>
      <c r="J38" s="28" t="str">
        <f t="shared" si="1"/>
        <v/>
      </c>
    </row>
    <row r="39" spans="1:22" x14ac:dyDescent="0.2">
      <c r="A39" s="57">
        <v>42226</v>
      </c>
      <c r="B39" s="20">
        <v>38.580002</v>
      </c>
      <c r="C39" s="61">
        <f>(tblDataCgi[[#This Row],[Côte]]-B38)/B38</f>
        <v>1.4462345896985269E-2</v>
      </c>
      <c r="F39" s="8" t="str">
        <f t="shared" si="0"/>
        <v/>
      </c>
      <c r="G39" s="59" t="str">
        <f>IFERROR(IF(G38+$H$5&gt;$H$3+$H$5,"",G38+$H$5),"")</f>
        <v/>
      </c>
      <c r="H39" s="9" t="e">
        <v>#N/A</v>
      </c>
      <c r="I39" s="13" t="str">
        <f>IF(F39&lt;&gt;"",H39/$H$6,"")</f>
        <v/>
      </c>
      <c r="J39" s="28" t="str">
        <f t="shared" si="1"/>
        <v/>
      </c>
    </row>
    <row r="40" spans="1:22" x14ac:dyDescent="0.2">
      <c r="A40" s="57">
        <v>42233</v>
      </c>
      <c r="B40" s="20">
        <v>35.590000000000003</v>
      </c>
      <c r="C40" s="61">
        <f>(tblDataCgi[[#This Row],[Côte]]-B39)/B39</f>
        <v>-7.7501343830930769E-2</v>
      </c>
      <c r="F40" s="10" t="str">
        <f t="shared" si="0"/>
        <v/>
      </c>
      <c r="G40" s="60" t="str">
        <f>IFERROR(IF(G39+$H$5&gt;$H$3+$H$5,"",G39+$H$5),"")</f>
        <v/>
      </c>
      <c r="H40" s="11" t="e">
        <v>#N/A</v>
      </c>
      <c r="I40" s="29" t="str">
        <f>IF(F40&lt;&gt;"",H40/$H$6,"")</f>
        <v/>
      </c>
      <c r="J40" s="30" t="str">
        <f t="shared" si="1"/>
        <v/>
      </c>
    </row>
    <row r="41" spans="1:22" x14ac:dyDescent="0.2">
      <c r="A41" s="57">
        <v>42240</v>
      </c>
      <c r="B41" s="20">
        <v>37.560001</v>
      </c>
      <c r="C41" s="61">
        <f>(tblDataCgi[[#This Row],[Côte]]-B40)/B40</f>
        <v>5.5352655240235915E-2</v>
      </c>
    </row>
    <row r="42" spans="1:22" x14ac:dyDescent="0.2">
      <c r="A42" s="57">
        <v>42247</v>
      </c>
      <c r="B42" s="20">
        <v>35.889999000000003</v>
      </c>
      <c r="C42" s="61">
        <f>(tblDataCgi[[#This Row],[Côte]]-B41)/B41</f>
        <v>-4.446224588758655E-2</v>
      </c>
    </row>
    <row r="43" spans="1:22" x14ac:dyDescent="0.2">
      <c r="A43" s="57">
        <v>42255</v>
      </c>
      <c r="B43" s="20">
        <v>36.139999000000003</v>
      </c>
      <c r="C43" s="61">
        <f>(tblDataCgi[[#This Row],[Côte]]-B42)/B42</f>
        <v>6.9657288092986568E-3</v>
      </c>
    </row>
    <row r="44" spans="1:22" x14ac:dyDescent="0.2">
      <c r="A44" s="57">
        <v>42261</v>
      </c>
      <c r="B44" s="20">
        <v>36.189999</v>
      </c>
      <c r="C44" s="61">
        <f>(tblDataCgi[[#This Row],[Côte]]-B43)/B43</f>
        <v>1.3835086160350241E-3</v>
      </c>
    </row>
    <row r="45" spans="1:22" x14ac:dyDescent="0.2">
      <c r="A45" s="57">
        <v>42268</v>
      </c>
      <c r="B45" s="20">
        <v>35.889999000000003</v>
      </c>
      <c r="C45" s="61">
        <f>(tblDataCgi[[#This Row],[Côte]]-B44)/B44</f>
        <v>-8.2895829867250664E-3</v>
      </c>
    </row>
    <row r="46" spans="1:22" x14ac:dyDescent="0.2">
      <c r="A46" s="57">
        <v>42275</v>
      </c>
      <c r="B46" s="20">
        <v>36.759998000000003</v>
      </c>
      <c r="C46" s="61">
        <f>(tblDataCgi[[#This Row],[Côte]]-B45)/B45</f>
        <v>2.4240708393444086E-2</v>
      </c>
    </row>
    <row r="47" spans="1:22" x14ac:dyDescent="0.2">
      <c r="A47" s="57">
        <v>42282</v>
      </c>
      <c r="B47" s="20">
        <v>37.119999</v>
      </c>
      <c r="C47" s="61">
        <f>(tblDataCgi[[#This Row],[Côte]]-B46)/B46</f>
        <v>9.7932812727573298E-3</v>
      </c>
    </row>
    <row r="48" spans="1:22" x14ac:dyDescent="0.2">
      <c r="A48" s="57">
        <v>42289</v>
      </c>
      <c r="B48" s="20">
        <v>36.860000999999997</v>
      </c>
      <c r="C48" s="61">
        <f>(tblDataCgi[[#This Row],[Côte]]-B47)/B47</f>
        <v>-7.0042566542095827E-3</v>
      </c>
    </row>
    <row r="49" spans="1:3" x14ac:dyDescent="0.2">
      <c r="A49" s="57">
        <v>42296</v>
      </c>
      <c r="B49" s="20">
        <v>37.470001000000003</v>
      </c>
      <c r="C49" s="61">
        <f>(tblDataCgi[[#This Row],[Côte]]-B48)/B48</f>
        <v>1.6549104271592573E-2</v>
      </c>
    </row>
    <row r="50" spans="1:3" x14ac:dyDescent="0.2">
      <c r="A50" s="57">
        <v>42303</v>
      </c>
      <c r="B50" s="20">
        <v>37.139999000000003</v>
      </c>
      <c r="C50" s="61">
        <f>(tblDataCgi[[#This Row],[Côte]]-B49)/B49</f>
        <v>-8.8070987774993732E-3</v>
      </c>
    </row>
    <row r="51" spans="1:3" x14ac:dyDescent="0.2">
      <c r="A51" s="57">
        <v>42310</v>
      </c>
      <c r="B51" s="20">
        <v>39.790000999999997</v>
      </c>
      <c r="C51" s="61">
        <f>(tblDataCgi[[#This Row],[Côte]]-B50)/B50</f>
        <v>7.1351698205484426E-2</v>
      </c>
    </row>
    <row r="52" spans="1:3" x14ac:dyDescent="0.2">
      <c r="A52" s="57">
        <v>42317</v>
      </c>
      <c r="B52" s="20">
        <v>40.729999999999997</v>
      </c>
      <c r="C52" s="61">
        <f>(tblDataCgi[[#This Row],[Côte]]-B51)/B51</f>
        <v>2.3624000411560691E-2</v>
      </c>
    </row>
    <row r="53" spans="1:3" x14ac:dyDescent="0.2">
      <c r="A53" s="57">
        <v>42324</v>
      </c>
      <c r="B53" s="20">
        <v>42.610000999999997</v>
      </c>
      <c r="C53" s="61">
        <f>(tblDataCgi[[#This Row],[Côte]]-B52)/B52</f>
        <v>4.6157647925362144E-2</v>
      </c>
    </row>
    <row r="54" spans="1:3" ht="15" x14ac:dyDescent="0.2">
      <c r="A54" s="64">
        <v>42331</v>
      </c>
      <c r="B54" s="20">
        <v>43.060001</v>
      </c>
      <c r="C54" s="61">
        <f>(tblDataCgi[[#This Row],[Côte]]-B53)/B53</f>
        <v>1.0560900949051912E-2</v>
      </c>
    </row>
    <row r="55" spans="1:3" ht="15" x14ac:dyDescent="0.2">
      <c r="A55" s="64"/>
      <c r="B55" s="20"/>
      <c r="C55" s="20"/>
    </row>
    <row r="56" spans="1:3" x14ac:dyDescent="0.2">
      <c r="A56" s="57"/>
      <c r="B56" s="57"/>
    </row>
    <row r="57" spans="1:3" x14ac:dyDescent="0.2">
      <c r="A57" s="57"/>
      <c r="B57" s="57"/>
    </row>
    <row r="58" spans="1:3" x14ac:dyDescent="0.2">
      <c r="A58" s="57"/>
      <c r="B58" s="57"/>
    </row>
    <row r="59" spans="1:3" x14ac:dyDescent="0.2">
      <c r="A59" s="57"/>
      <c r="B59" s="57"/>
    </row>
    <row r="60" spans="1:3" x14ac:dyDescent="0.2">
      <c r="A60" s="57"/>
      <c r="B60" s="57"/>
    </row>
    <row r="61" spans="1:3" x14ac:dyDescent="0.2">
      <c r="A61" s="57"/>
      <c r="B61" s="57"/>
    </row>
    <row r="62" spans="1:3" x14ac:dyDescent="0.2">
      <c r="A62" s="57"/>
      <c r="B62" s="57"/>
    </row>
    <row r="63" spans="1:3" x14ac:dyDescent="0.2">
      <c r="A63" s="57"/>
      <c r="B63" s="57"/>
    </row>
    <row r="64" spans="1:3" x14ac:dyDescent="0.2">
      <c r="A64" s="57"/>
      <c r="B64" s="57"/>
    </row>
    <row r="65" spans="1:2" x14ac:dyDescent="0.2">
      <c r="A65" s="57"/>
      <c r="B65" s="57"/>
    </row>
    <row r="66" spans="1:2" x14ac:dyDescent="0.2">
      <c r="A66" s="57"/>
      <c r="B66" s="57"/>
    </row>
    <row r="67" spans="1:2" x14ac:dyDescent="0.2">
      <c r="A67" s="57"/>
      <c r="B67" s="57"/>
    </row>
    <row r="68" spans="1:2" x14ac:dyDescent="0.2">
      <c r="A68" s="57"/>
      <c r="B68" s="57"/>
    </row>
    <row r="69" spans="1:2" x14ac:dyDescent="0.2">
      <c r="A69" s="57"/>
      <c r="B69" s="57"/>
    </row>
    <row r="70" spans="1:2" x14ac:dyDescent="0.2">
      <c r="A70" s="57"/>
      <c r="B70" s="57"/>
    </row>
    <row r="71" spans="1:2" x14ac:dyDescent="0.2">
      <c r="A71" s="57"/>
      <c r="B71" s="57"/>
    </row>
    <row r="72" spans="1:2" x14ac:dyDescent="0.2">
      <c r="A72" s="57"/>
      <c r="B72" s="57"/>
    </row>
    <row r="73" spans="1:2" x14ac:dyDescent="0.2">
      <c r="A73" s="57"/>
      <c r="B73" s="57"/>
    </row>
    <row r="74" spans="1:2" x14ac:dyDescent="0.2">
      <c r="A74" s="57"/>
      <c r="B74" s="57"/>
    </row>
    <row r="75" spans="1:2" x14ac:dyDescent="0.2">
      <c r="A75" s="57"/>
      <c r="B75" s="57"/>
    </row>
    <row r="76" spans="1:2" x14ac:dyDescent="0.2">
      <c r="A76" s="57"/>
      <c r="B76" s="57"/>
    </row>
    <row r="77" spans="1:2" x14ac:dyDescent="0.2">
      <c r="A77" s="57"/>
      <c r="B77" s="57"/>
    </row>
    <row r="78" spans="1:2" x14ac:dyDescent="0.2">
      <c r="A78" s="57"/>
      <c r="B78" s="57"/>
    </row>
    <row r="79" spans="1:2" x14ac:dyDescent="0.2">
      <c r="A79" s="57"/>
      <c r="B79" s="57"/>
    </row>
    <row r="80" spans="1:2" x14ac:dyDescent="0.2">
      <c r="A80" s="57"/>
      <c r="B80" s="57"/>
    </row>
    <row r="81" spans="1:2" x14ac:dyDescent="0.2">
      <c r="A81" s="57"/>
      <c r="B81" s="57"/>
    </row>
    <row r="82" spans="1:2" x14ac:dyDescent="0.2">
      <c r="A82" s="57"/>
      <c r="B82" s="57"/>
    </row>
    <row r="83" spans="1:2" x14ac:dyDescent="0.2">
      <c r="A83" s="57"/>
      <c r="B83" s="57"/>
    </row>
    <row r="84" spans="1:2" x14ac:dyDescent="0.2">
      <c r="A84" s="57"/>
      <c r="B84" s="57"/>
    </row>
    <row r="85" spans="1:2" x14ac:dyDescent="0.2">
      <c r="A85" s="57"/>
      <c r="B85" s="57"/>
    </row>
    <row r="86" spans="1:2" x14ac:dyDescent="0.2">
      <c r="A86" s="57"/>
      <c r="B86" s="57"/>
    </row>
    <row r="87" spans="1:2" x14ac:dyDescent="0.2">
      <c r="A87" s="57"/>
      <c r="B87" s="57"/>
    </row>
    <row r="88" spans="1:2" x14ac:dyDescent="0.2">
      <c r="A88" s="57"/>
      <c r="B88" s="57"/>
    </row>
    <row r="89" spans="1:2" x14ac:dyDescent="0.2">
      <c r="A89" s="57"/>
      <c r="B89" s="57"/>
    </row>
    <row r="90" spans="1:2" x14ac:dyDescent="0.2">
      <c r="A90" s="57"/>
      <c r="B90" s="57"/>
    </row>
    <row r="91" spans="1:2" x14ac:dyDescent="0.2">
      <c r="A91" s="57"/>
      <c r="B91" s="57"/>
    </row>
    <row r="92" spans="1:2" x14ac:dyDescent="0.2">
      <c r="A92" s="57"/>
      <c r="B92" s="57"/>
    </row>
    <row r="93" spans="1:2" x14ac:dyDescent="0.2">
      <c r="A93" s="57"/>
      <c r="B93" s="57"/>
    </row>
    <row r="94" spans="1:2" x14ac:dyDescent="0.2">
      <c r="A94" s="57"/>
      <c r="B94" s="57"/>
    </row>
    <row r="95" spans="1:2" x14ac:dyDescent="0.2">
      <c r="A95" s="57"/>
      <c r="B95" s="57"/>
    </row>
    <row r="96" spans="1:2" x14ac:dyDescent="0.2">
      <c r="A96" s="57"/>
      <c r="B96" s="57"/>
    </row>
    <row r="97" spans="1:2" x14ac:dyDescent="0.2">
      <c r="A97" s="57"/>
      <c r="B97" s="57"/>
    </row>
    <row r="98" spans="1:2" x14ac:dyDescent="0.2">
      <c r="A98" s="57"/>
      <c r="B98" s="57"/>
    </row>
    <row r="99" spans="1:2" x14ac:dyDescent="0.2">
      <c r="A99" s="57"/>
      <c r="B99" s="57"/>
    </row>
    <row r="100" spans="1:2" x14ac:dyDescent="0.2">
      <c r="A100" s="57"/>
      <c r="B100" s="57"/>
    </row>
    <row r="101" spans="1:2" x14ac:dyDescent="0.2">
      <c r="A101" s="57"/>
      <c r="B101" s="57"/>
    </row>
    <row r="102" spans="1:2" x14ac:dyDescent="0.2">
      <c r="A102" s="57"/>
      <c r="B102" s="57"/>
    </row>
    <row r="103" spans="1:2" x14ac:dyDescent="0.2">
      <c r="A103" s="57"/>
      <c r="B103" s="57"/>
    </row>
    <row r="104" spans="1:2" x14ac:dyDescent="0.2">
      <c r="A104" s="57"/>
      <c r="B104" s="57"/>
    </row>
    <row r="105" spans="1:2" x14ac:dyDescent="0.2">
      <c r="A105" s="57"/>
      <c r="B105" s="57"/>
    </row>
    <row r="106" spans="1:2" x14ac:dyDescent="0.2">
      <c r="A106" s="57"/>
      <c r="B106" s="57"/>
    </row>
    <row r="107" spans="1:2" x14ac:dyDescent="0.2">
      <c r="A107" s="57"/>
      <c r="B107" s="57"/>
    </row>
    <row r="108" spans="1:2" x14ac:dyDescent="0.2">
      <c r="A108" s="57"/>
      <c r="B108" s="57"/>
    </row>
    <row r="109" spans="1:2" x14ac:dyDescent="0.2">
      <c r="A109" s="57"/>
      <c r="B109" s="57"/>
    </row>
    <row r="110" spans="1:2" x14ac:dyDescent="0.2">
      <c r="A110" s="57"/>
      <c r="B110" s="57"/>
    </row>
    <row r="111" spans="1:2" x14ac:dyDescent="0.2">
      <c r="A111" s="57"/>
      <c r="B111" s="57"/>
    </row>
    <row r="112" spans="1:2" x14ac:dyDescent="0.2">
      <c r="A112" s="57"/>
      <c r="B112" s="57"/>
    </row>
    <row r="113" spans="1:2" x14ac:dyDescent="0.2">
      <c r="A113" s="57"/>
      <c r="B113" s="57"/>
    </row>
    <row r="114" spans="1:2" x14ac:dyDescent="0.2">
      <c r="A114" s="57"/>
      <c r="B114" s="57"/>
    </row>
    <row r="115" spans="1:2" x14ac:dyDescent="0.2">
      <c r="A115" s="57"/>
      <c r="B115" s="57"/>
    </row>
    <row r="116" spans="1:2" x14ac:dyDescent="0.2">
      <c r="A116" s="57"/>
      <c r="B116" s="57"/>
    </row>
    <row r="117" spans="1:2" x14ac:dyDescent="0.2">
      <c r="A117" s="57"/>
      <c r="B117" s="57"/>
    </row>
    <row r="118" spans="1:2" x14ac:dyDescent="0.2">
      <c r="A118" s="57"/>
      <c r="B118" s="57"/>
    </row>
    <row r="119" spans="1:2" x14ac:dyDescent="0.2">
      <c r="A119" s="57"/>
      <c r="B119" s="57"/>
    </row>
    <row r="120" spans="1:2" x14ac:dyDescent="0.2">
      <c r="A120" s="57"/>
      <c r="B120" s="57"/>
    </row>
    <row r="121" spans="1:2" x14ac:dyDescent="0.2">
      <c r="A121" s="57"/>
      <c r="B121" s="57"/>
    </row>
    <row r="122" spans="1:2" x14ac:dyDescent="0.2">
      <c r="A122" s="57"/>
      <c r="B122" s="57"/>
    </row>
    <row r="123" spans="1:2" x14ac:dyDescent="0.2">
      <c r="A123" s="57"/>
      <c r="B123" s="57"/>
    </row>
    <row r="124" spans="1:2" x14ac:dyDescent="0.2">
      <c r="A124" s="57"/>
      <c r="B124" s="57"/>
    </row>
    <row r="125" spans="1:2" x14ac:dyDescent="0.2">
      <c r="A125" s="57"/>
      <c r="B125" s="57"/>
    </row>
    <row r="126" spans="1:2" x14ac:dyDescent="0.2">
      <c r="A126" s="57"/>
      <c r="B126" s="57"/>
    </row>
    <row r="127" spans="1:2" x14ac:dyDescent="0.2">
      <c r="A127" s="57"/>
      <c r="B127" s="57"/>
    </row>
    <row r="128" spans="1:2" x14ac:dyDescent="0.2">
      <c r="A128" s="57"/>
      <c r="B128" s="57"/>
    </row>
    <row r="129" spans="1:2" x14ac:dyDescent="0.2">
      <c r="A129" s="57"/>
      <c r="B129" s="57"/>
    </row>
    <row r="130" spans="1:2" x14ac:dyDescent="0.2">
      <c r="A130" s="57"/>
      <c r="B130" s="57"/>
    </row>
    <row r="131" spans="1:2" x14ac:dyDescent="0.2">
      <c r="A131" s="57"/>
      <c r="B131" s="57"/>
    </row>
    <row r="132" spans="1:2" x14ac:dyDescent="0.2">
      <c r="A132" s="57"/>
      <c r="B132" s="57"/>
    </row>
    <row r="133" spans="1:2" x14ac:dyDescent="0.2">
      <c r="A133" s="57"/>
      <c r="B133" s="57"/>
    </row>
    <row r="134" spans="1:2" x14ac:dyDescent="0.2">
      <c r="A134" s="57"/>
      <c r="B134" s="57"/>
    </row>
    <row r="135" spans="1:2" x14ac:dyDescent="0.2">
      <c r="A135" s="57"/>
      <c r="B135" s="57"/>
    </row>
    <row r="136" spans="1:2" x14ac:dyDescent="0.2">
      <c r="A136" s="57"/>
      <c r="B136" s="57"/>
    </row>
    <row r="137" spans="1:2" x14ac:dyDescent="0.2">
      <c r="A137" s="57"/>
      <c r="B137" s="57"/>
    </row>
    <row r="138" spans="1:2" x14ac:dyDescent="0.2">
      <c r="A138" s="57"/>
      <c r="B138" s="57"/>
    </row>
    <row r="139" spans="1:2" x14ac:dyDescent="0.2">
      <c r="A139" s="57"/>
      <c r="B139" s="57"/>
    </row>
    <row r="140" spans="1:2" x14ac:dyDescent="0.2">
      <c r="A140" s="57"/>
      <c r="B140" s="57"/>
    </row>
    <row r="141" spans="1:2" x14ac:dyDescent="0.2">
      <c r="A141" s="57"/>
      <c r="B141" s="57"/>
    </row>
    <row r="142" spans="1:2" x14ac:dyDescent="0.2">
      <c r="A142" s="57"/>
      <c r="B142" s="57"/>
    </row>
    <row r="143" spans="1:2" x14ac:dyDescent="0.2">
      <c r="A143" s="57"/>
      <c r="B143" s="57"/>
    </row>
    <row r="144" spans="1:2" x14ac:dyDescent="0.2">
      <c r="A144" s="57"/>
      <c r="B144" s="57"/>
    </row>
    <row r="145" spans="1:2" x14ac:dyDescent="0.2">
      <c r="A145" s="57"/>
      <c r="B145" s="57"/>
    </row>
    <row r="146" spans="1:2" x14ac:dyDescent="0.2">
      <c r="A146" s="57"/>
      <c r="B146" s="57"/>
    </row>
    <row r="147" spans="1:2" x14ac:dyDescent="0.2">
      <c r="A147" s="57"/>
      <c r="B147" s="57"/>
    </row>
    <row r="148" spans="1:2" x14ac:dyDescent="0.2">
      <c r="A148" s="57"/>
      <c r="B148" s="57"/>
    </row>
    <row r="149" spans="1:2" x14ac:dyDescent="0.2">
      <c r="A149" s="57"/>
      <c r="B149" s="57"/>
    </row>
    <row r="150" spans="1:2" x14ac:dyDescent="0.2">
      <c r="A150" s="57"/>
      <c r="B150" s="57"/>
    </row>
    <row r="151" spans="1:2" x14ac:dyDescent="0.2">
      <c r="A151" s="57"/>
      <c r="B151" s="57"/>
    </row>
    <row r="152" spans="1:2" x14ac:dyDescent="0.2">
      <c r="A152" s="57"/>
      <c r="B152" s="57"/>
    </row>
    <row r="153" spans="1:2" x14ac:dyDescent="0.2">
      <c r="A153" s="57"/>
      <c r="B153" s="57"/>
    </row>
    <row r="154" spans="1:2" x14ac:dyDescent="0.2">
      <c r="A154" s="57"/>
      <c r="B154" s="57"/>
    </row>
    <row r="155" spans="1:2" x14ac:dyDescent="0.2">
      <c r="A155" s="57"/>
      <c r="B155" s="57"/>
    </row>
    <row r="156" spans="1:2" x14ac:dyDescent="0.2">
      <c r="A156" s="57"/>
      <c r="B156" s="57"/>
    </row>
    <row r="157" spans="1:2" x14ac:dyDescent="0.2">
      <c r="A157" s="57"/>
      <c r="B157" s="57"/>
    </row>
    <row r="158" spans="1:2" x14ac:dyDescent="0.2">
      <c r="A158" s="57"/>
      <c r="B158" s="57"/>
    </row>
    <row r="159" spans="1:2" x14ac:dyDescent="0.2">
      <c r="A159" s="57"/>
      <c r="B159" s="57"/>
    </row>
    <row r="160" spans="1:2" x14ac:dyDescent="0.2">
      <c r="A160" s="57"/>
      <c r="B160" s="57"/>
    </row>
    <row r="161" spans="1:2" x14ac:dyDescent="0.2">
      <c r="A161" s="57"/>
      <c r="B161" s="57"/>
    </row>
    <row r="162" spans="1:2" x14ac:dyDescent="0.2">
      <c r="A162" s="57"/>
      <c r="B162" s="57"/>
    </row>
    <row r="163" spans="1:2" x14ac:dyDescent="0.2">
      <c r="A163" s="57"/>
      <c r="B163" s="57"/>
    </row>
    <row r="164" spans="1:2" x14ac:dyDescent="0.2">
      <c r="A164" s="57"/>
      <c r="B164" s="57"/>
    </row>
    <row r="165" spans="1:2" x14ac:dyDescent="0.2">
      <c r="A165" s="57"/>
      <c r="B165" s="57"/>
    </row>
    <row r="166" spans="1:2" x14ac:dyDescent="0.2">
      <c r="A166" s="57"/>
      <c r="B166" s="57"/>
    </row>
    <row r="167" spans="1:2" x14ac:dyDescent="0.2">
      <c r="A167" s="57"/>
      <c r="B167" s="57"/>
    </row>
    <row r="168" spans="1:2" x14ac:dyDescent="0.2">
      <c r="A168" s="57"/>
      <c r="B168" s="57"/>
    </row>
    <row r="169" spans="1:2" x14ac:dyDescent="0.2">
      <c r="A169" s="57"/>
      <c r="B169" s="57"/>
    </row>
    <row r="170" spans="1:2" x14ac:dyDescent="0.2">
      <c r="A170" s="57"/>
      <c r="B170" s="57"/>
    </row>
    <row r="171" spans="1:2" x14ac:dyDescent="0.2">
      <c r="A171" s="57"/>
      <c r="B171" s="57"/>
    </row>
    <row r="172" spans="1:2" x14ac:dyDescent="0.2">
      <c r="A172" s="57"/>
      <c r="B172" s="57"/>
    </row>
    <row r="173" spans="1:2" x14ac:dyDescent="0.2">
      <c r="A173" s="57"/>
      <c r="B173" s="57"/>
    </row>
    <row r="174" spans="1:2" x14ac:dyDescent="0.2">
      <c r="A174" s="57"/>
      <c r="B174" s="57"/>
    </row>
    <row r="175" spans="1:2" x14ac:dyDescent="0.2">
      <c r="A175" s="57"/>
      <c r="B175" s="57"/>
    </row>
    <row r="176" spans="1:2" x14ac:dyDescent="0.2">
      <c r="A176" s="57"/>
      <c r="B176" s="57"/>
    </row>
    <row r="177" spans="1:2" x14ac:dyDescent="0.2">
      <c r="A177" s="57"/>
      <c r="B177" s="57"/>
    </row>
    <row r="178" spans="1:2" x14ac:dyDescent="0.2">
      <c r="A178" s="57"/>
      <c r="B178" s="57"/>
    </row>
    <row r="179" spans="1:2" x14ac:dyDescent="0.2">
      <c r="A179" s="57"/>
      <c r="B179" s="57"/>
    </row>
    <row r="180" spans="1:2" x14ac:dyDescent="0.2">
      <c r="A180" s="57"/>
      <c r="B180" s="57"/>
    </row>
    <row r="181" spans="1:2" x14ac:dyDescent="0.2">
      <c r="A181" s="57"/>
      <c r="B181" s="57"/>
    </row>
    <row r="182" spans="1:2" x14ac:dyDescent="0.2">
      <c r="A182" s="57"/>
      <c r="B182" s="57"/>
    </row>
    <row r="183" spans="1:2" x14ac:dyDescent="0.2">
      <c r="A183" s="57"/>
      <c r="B183" s="57"/>
    </row>
    <row r="184" spans="1:2" x14ac:dyDescent="0.2">
      <c r="A184" s="57"/>
      <c r="B184" s="57"/>
    </row>
    <row r="185" spans="1:2" x14ac:dyDescent="0.2">
      <c r="A185" s="57"/>
      <c r="B185" s="57"/>
    </row>
    <row r="186" spans="1:2" x14ac:dyDescent="0.2">
      <c r="A186" s="57"/>
      <c r="B186" s="57"/>
    </row>
    <row r="187" spans="1:2" x14ac:dyDescent="0.2">
      <c r="A187" s="57"/>
      <c r="B187" s="57"/>
    </row>
    <row r="188" spans="1:2" x14ac:dyDescent="0.2">
      <c r="A188" s="57"/>
      <c r="B188" s="57"/>
    </row>
    <row r="189" spans="1:2" x14ac:dyDescent="0.2">
      <c r="A189" s="57"/>
      <c r="B189" s="57"/>
    </row>
    <row r="190" spans="1:2" x14ac:dyDescent="0.2">
      <c r="A190" s="57"/>
      <c r="B190" s="57"/>
    </row>
    <row r="191" spans="1:2" x14ac:dyDescent="0.2">
      <c r="A191" s="57"/>
      <c r="B191" s="57"/>
    </row>
    <row r="192" spans="1:2" x14ac:dyDescent="0.2">
      <c r="A192" s="57"/>
      <c r="B192" s="57"/>
    </row>
    <row r="193" spans="1:2" x14ac:dyDescent="0.2">
      <c r="A193" s="57"/>
      <c r="B193" s="57"/>
    </row>
    <row r="194" spans="1:2" x14ac:dyDescent="0.2">
      <c r="A194" s="57"/>
      <c r="B194" s="57"/>
    </row>
    <row r="195" spans="1:2" x14ac:dyDescent="0.2">
      <c r="A195" s="57"/>
      <c r="B195" s="57"/>
    </row>
    <row r="196" spans="1:2" x14ac:dyDescent="0.2">
      <c r="A196" s="57"/>
      <c r="B196" s="57"/>
    </row>
    <row r="197" spans="1:2" x14ac:dyDescent="0.2">
      <c r="A197" s="57"/>
      <c r="B197" s="57"/>
    </row>
    <row r="198" spans="1:2" x14ac:dyDescent="0.2">
      <c r="A198" s="57"/>
      <c r="B198" s="57"/>
    </row>
    <row r="199" spans="1:2" x14ac:dyDescent="0.2">
      <c r="A199" s="57"/>
      <c r="B199" s="57"/>
    </row>
    <row r="200" spans="1:2" x14ac:dyDescent="0.2">
      <c r="A200" s="57"/>
      <c r="B200" s="57"/>
    </row>
    <row r="201" spans="1:2" x14ac:dyDescent="0.2">
      <c r="A201" s="57"/>
      <c r="B201" s="57"/>
    </row>
    <row r="202" spans="1:2" x14ac:dyDescent="0.2">
      <c r="A202" s="57"/>
      <c r="B202" s="57"/>
    </row>
    <row r="203" spans="1:2" x14ac:dyDescent="0.2">
      <c r="A203" s="57"/>
      <c r="B203" s="57"/>
    </row>
    <row r="204" spans="1:2" x14ac:dyDescent="0.2">
      <c r="A204" s="57"/>
      <c r="B204" s="57"/>
    </row>
    <row r="205" spans="1:2" x14ac:dyDescent="0.2">
      <c r="A205" s="57"/>
      <c r="B205" s="57"/>
    </row>
    <row r="206" spans="1:2" x14ac:dyDescent="0.2">
      <c r="A206" s="57"/>
      <c r="B206" s="57"/>
    </row>
    <row r="207" spans="1:2" x14ac:dyDescent="0.2">
      <c r="A207" s="57"/>
      <c r="B207" s="57"/>
    </row>
    <row r="208" spans="1:2" x14ac:dyDescent="0.2">
      <c r="A208" s="57"/>
      <c r="B208" s="57"/>
    </row>
    <row r="209" spans="1:2" x14ac:dyDescent="0.2">
      <c r="A209" s="57"/>
      <c r="B209" s="57"/>
    </row>
    <row r="210" spans="1:2" x14ac:dyDescent="0.2">
      <c r="A210" s="57"/>
      <c r="B210" s="57"/>
    </row>
    <row r="211" spans="1:2" x14ac:dyDescent="0.2">
      <c r="A211" s="57"/>
      <c r="B211" s="57"/>
    </row>
    <row r="212" spans="1:2" x14ac:dyDescent="0.2">
      <c r="A212" s="57"/>
      <c r="B212" s="57"/>
    </row>
    <row r="213" spans="1:2" x14ac:dyDescent="0.2">
      <c r="A213" s="57"/>
      <c r="B213" s="57"/>
    </row>
    <row r="214" spans="1:2" x14ac:dyDescent="0.2">
      <c r="A214" s="57"/>
      <c r="B214" s="57"/>
    </row>
    <row r="215" spans="1:2" x14ac:dyDescent="0.2">
      <c r="A215" s="57"/>
      <c r="B215" s="57"/>
    </row>
    <row r="216" spans="1:2" x14ac:dyDescent="0.2">
      <c r="A216" s="57"/>
      <c r="B216" s="57"/>
    </row>
    <row r="217" spans="1:2" x14ac:dyDescent="0.2">
      <c r="A217" s="57"/>
      <c r="B217" s="57"/>
    </row>
    <row r="218" spans="1:2" x14ac:dyDescent="0.2">
      <c r="A218" s="57"/>
      <c r="B218" s="57"/>
    </row>
    <row r="219" spans="1:2" x14ac:dyDescent="0.2">
      <c r="A219" s="57"/>
      <c r="B219" s="57"/>
    </row>
    <row r="220" spans="1:2" x14ac:dyDescent="0.2">
      <c r="A220" s="57"/>
      <c r="B220" s="57"/>
    </row>
    <row r="221" spans="1:2" x14ac:dyDescent="0.2">
      <c r="A221" s="57"/>
      <c r="B221" s="57"/>
    </row>
    <row r="222" spans="1:2" x14ac:dyDescent="0.2">
      <c r="A222" s="57"/>
      <c r="B222" s="57"/>
    </row>
    <row r="223" spans="1:2" x14ac:dyDescent="0.2">
      <c r="A223" s="57"/>
      <c r="B223" s="57"/>
    </row>
    <row r="224" spans="1:2" x14ac:dyDescent="0.2">
      <c r="A224" s="57"/>
      <c r="B224" s="57"/>
    </row>
    <row r="225" spans="1:2" x14ac:dyDescent="0.2">
      <c r="A225" s="57"/>
      <c r="B225" s="57"/>
    </row>
    <row r="226" spans="1:2" x14ac:dyDescent="0.2">
      <c r="A226" s="57"/>
      <c r="B226" s="57"/>
    </row>
    <row r="227" spans="1:2" x14ac:dyDescent="0.2">
      <c r="A227" s="57"/>
      <c r="B227" s="57"/>
    </row>
    <row r="228" spans="1:2" x14ac:dyDescent="0.2">
      <c r="A228" s="57"/>
      <c r="B228" s="57"/>
    </row>
    <row r="229" spans="1:2" x14ac:dyDescent="0.2">
      <c r="A229" s="57"/>
      <c r="B229" s="57"/>
    </row>
    <row r="230" spans="1:2" x14ac:dyDescent="0.2">
      <c r="A230" s="57"/>
      <c r="B230" s="57"/>
    </row>
    <row r="231" spans="1:2" x14ac:dyDescent="0.2">
      <c r="A231" s="57"/>
      <c r="B231" s="57"/>
    </row>
    <row r="232" spans="1:2" x14ac:dyDescent="0.2">
      <c r="A232" s="57"/>
      <c r="B232" s="57"/>
    </row>
    <row r="233" spans="1:2" x14ac:dyDescent="0.2">
      <c r="A233" s="57"/>
      <c r="B233" s="57"/>
    </row>
    <row r="234" spans="1:2" x14ac:dyDescent="0.2">
      <c r="A234" s="57"/>
      <c r="B234" s="57"/>
    </row>
    <row r="235" spans="1:2" x14ac:dyDescent="0.2">
      <c r="A235" s="57"/>
      <c r="B235" s="57"/>
    </row>
    <row r="236" spans="1:2" x14ac:dyDescent="0.2">
      <c r="A236" s="57"/>
      <c r="B236" s="57"/>
    </row>
    <row r="237" spans="1:2" x14ac:dyDescent="0.2">
      <c r="A237" s="57"/>
      <c r="B237" s="57"/>
    </row>
    <row r="238" spans="1:2" x14ac:dyDescent="0.2">
      <c r="A238" s="57"/>
      <c r="B238" s="57"/>
    </row>
    <row r="239" spans="1:2" x14ac:dyDescent="0.2">
      <c r="A239" s="57"/>
      <c r="B239" s="57"/>
    </row>
    <row r="240" spans="1:2" x14ac:dyDescent="0.2">
      <c r="A240" s="57"/>
      <c r="B240" s="57"/>
    </row>
    <row r="241" spans="1:2" x14ac:dyDescent="0.2">
      <c r="A241" s="57"/>
      <c r="B241" s="57"/>
    </row>
    <row r="242" spans="1:2" x14ac:dyDescent="0.2">
      <c r="A242" s="57"/>
      <c r="B242" s="57"/>
    </row>
    <row r="243" spans="1:2" x14ac:dyDescent="0.2">
      <c r="A243" s="57"/>
      <c r="B243" s="57"/>
    </row>
    <row r="244" spans="1:2" x14ac:dyDescent="0.2">
      <c r="A244" s="57"/>
      <c r="B244" s="57"/>
    </row>
    <row r="245" spans="1:2" x14ac:dyDescent="0.2">
      <c r="A245" s="57"/>
      <c r="B245" s="57"/>
    </row>
    <row r="246" spans="1:2" x14ac:dyDescent="0.2">
      <c r="A246" s="57"/>
      <c r="B246" s="57"/>
    </row>
    <row r="247" spans="1:2" x14ac:dyDescent="0.2">
      <c r="A247" s="57"/>
      <c r="B247" s="57"/>
    </row>
    <row r="248" spans="1:2" x14ac:dyDescent="0.2">
      <c r="A248" s="57"/>
      <c r="B248" s="57"/>
    </row>
    <row r="249" spans="1:2" x14ac:dyDescent="0.2">
      <c r="A249" s="57"/>
      <c r="B249" s="57"/>
    </row>
    <row r="250" spans="1:2" x14ac:dyDescent="0.2">
      <c r="A250" s="57"/>
      <c r="B250" s="57"/>
    </row>
    <row r="251" spans="1:2" x14ac:dyDescent="0.2">
      <c r="A251" s="57"/>
      <c r="B251" s="57"/>
    </row>
    <row r="252" spans="1:2" x14ac:dyDescent="0.2">
      <c r="A252" s="57"/>
      <c r="B252" s="57"/>
    </row>
    <row r="253" spans="1:2" x14ac:dyDescent="0.2">
      <c r="A253" s="57"/>
      <c r="B253" s="57"/>
    </row>
    <row r="254" spans="1:2" x14ac:dyDescent="0.2">
      <c r="A254" s="57"/>
      <c r="B254" s="57"/>
    </row>
    <row r="255" spans="1:2" x14ac:dyDescent="0.2">
      <c r="A255" s="57"/>
      <c r="B255" s="57"/>
    </row>
    <row r="256" spans="1:2" x14ac:dyDescent="0.2">
      <c r="A256" s="57"/>
      <c r="B256" s="57"/>
    </row>
    <row r="257" spans="1:2" x14ac:dyDescent="0.2">
      <c r="A257" s="57"/>
      <c r="B257" s="57"/>
    </row>
    <row r="258" spans="1:2" x14ac:dyDescent="0.2">
      <c r="A258" s="57"/>
      <c r="B258" s="57"/>
    </row>
    <row r="259" spans="1:2" x14ac:dyDescent="0.2">
      <c r="A259" s="57"/>
      <c r="B259" s="57"/>
    </row>
    <row r="260" spans="1:2" x14ac:dyDescent="0.2">
      <c r="A260" s="57"/>
      <c r="B260" s="57"/>
    </row>
    <row r="261" spans="1:2" x14ac:dyDescent="0.2">
      <c r="A261" s="57"/>
      <c r="B261" s="57"/>
    </row>
    <row r="262" spans="1:2" x14ac:dyDescent="0.2">
      <c r="A262" s="57"/>
      <c r="B262" s="57"/>
    </row>
    <row r="263" spans="1:2" x14ac:dyDescent="0.2">
      <c r="A263" s="57"/>
      <c r="B263" s="57"/>
    </row>
    <row r="264" spans="1:2" x14ac:dyDescent="0.2">
      <c r="A264" s="57"/>
      <c r="B264" s="57"/>
    </row>
    <row r="265" spans="1:2" x14ac:dyDescent="0.2">
      <c r="A265" s="57"/>
      <c r="B265" s="57"/>
    </row>
    <row r="266" spans="1:2" x14ac:dyDescent="0.2">
      <c r="A266" s="57"/>
      <c r="B266" s="57"/>
    </row>
    <row r="267" spans="1:2" x14ac:dyDescent="0.2">
      <c r="A267" s="57"/>
      <c r="B267" s="57"/>
    </row>
    <row r="268" spans="1:2" x14ac:dyDescent="0.2">
      <c r="A268" s="57"/>
      <c r="B268" s="57"/>
    </row>
    <row r="269" spans="1:2" x14ac:dyDescent="0.2">
      <c r="A269" s="57"/>
      <c r="B269" s="57"/>
    </row>
    <row r="270" spans="1:2" x14ac:dyDescent="0.2">
      <c r="A270" s="57"/>
      <c r="B270" s="57"/>
    </row>
    <row r="271" spans="1:2" x14ac:dyDescent="0.2">
      <c r="A271" s="57"/>
      <c r="B271" s="57"/>
    </row>
    <row r="272" spans="1:2" x14ac:dyDescent="0.2">
      <c r="A272" s="57"/>
      <c r="B272" s="57"/>
    </row>
    <row r="273" spans="1:2" x14ac:dyDescent="0.2">
      <c r="A273" s="57"/>
      <c r="B273" s="57"/>
    </row>
    <row r="274" spans="1:2" x14ac:dyDescent="0.2">
      <c r="A274" s="57"/>
      <c r="B274" s="57"/>
    </row>
    <row r="275" spans="1:2" x14ac:dyDescent="0.2">
      <c r="A275" s="57"/>
      <c r="B275" s="57"/>
    </row>
    <row r="276" spans="1:2" x14ac:dyDescent="0.2">
      <c r="A276" s="57"/>
      <c r="B276" s="57"/>
    </row>
    <row r="277" spans="1:2" x14ac:dyDescent="0.2">
      <c r="A277" s="57"/>
      <c r="B277" s="57"/>
    </row>
    <row r="278" spans="1:2" x14ac:dyDescent="0.2">
      <c r="A278" s="57"/>
      <c r="B278" s="57"/>
    </row>
    <row r="279" spans="1:2" x14ac:dyDescent="0.2">
      <c r="A279" s="57"/>
      <c r="B279" s="57"/>
    </row>
    <row r="280" spans="1:2" x14ac:dyDescent="0.2">
      <c r="A280" s="57"/>
      <c r="B280" s="57"/>
    </row>
    <row r="281" spans="1:2" x14ac:dyDescent="0.2">
      <c r="A281" s="57"/>
      <c r="B281" s="57"/>
    </row>
    <row r="282" spans="1:2" x14ac:dyDescent="0.2">
      <c r="A282" s="57"/>
      <c r="B282" s="57"/>
    </row>
    <row r="283" spans="1:2" x14ac:dyDescent="0.2">
      <c r="A283" s="57"/>
      <c r="B283" s="57"/>
    </row>
    <row r="284" spans="1:2" x14ac:dyDescent="0.2">
      <c r="A284" s="57"/>
      <c r="B284" s="57"/>
    </row>
    <row r="285" spans="1:2" x14ac:dyDescent="0.2">
      <c r="A285" s="57"/>
      <c r="B285" s="57"/>
    </row>
    <row r="286" spans="1:2" x14ac:dyDescent="0.2">
      <c r="A286" s="57"/>
      <c r="B286" s="57"/>
    </row>
    <row r="287" spans="1:2" x14ac:dyDescent="0.2">
      <c r="A287" s="57"/>
      <c r="B287" s="57"/>
    </row>
    <row r="288" spans="1:2" x14ac:dyDescent="0.2">
      <c r="A288" s="57"/>
      <c r="B288" s="57"/>
    </row>
    <row r="289" spans="1:2" x14ac:dyDescent="0.2">
      <c r="A289" s="57"/>
      <c r="B289" s="57"/>
    </row>
    <row r="290" spans="1:2" x14ac:dyDescent="0.2">
      <c r="A290" s="57"/>
      <c r="B290" s="57"/>
    </row>
    <row r="291" spans="1:2" x14ac:dyDescent="0.2">
      <c r="A291" s="57"/>
      <c r="B291" s="57"/>
    </row>
    <row r="292" spans="1:2" x14ac:dyDescent="0.2">
      <c r="A292" s="57"/>
      <c r="B292" s="57"/>
    </row>
    <row r="293" spans="1:2" x14ac:dyDescent="0.2">
      <c r="A293" s="57"/>
      <c r="B293" s="57"/>
    </row>
    <row r="294" spans="1:2" x14ac:dyDescent="0.2">
      <c r="A294" s="57"/>
      <c r="B294" s="57"/>
    </row>
    <row r="295" spans="1:2" x14ac:dyDescent="0.2">
      <c r="A295" s="57"/>
      <c r="B295" s="57"/>
    </row>
    <row r="296" spans="1:2" x14ac:dyDescent="0.2">
      <c r="A296" s="57"/>
      <c r="B296" s="57"/>
    </row>
    <row r="297" spans="1:2" x14ac:dyDescent="0.2">
      <c r="A297" s="57"/>
      <c r="B297" s="57"/>
    </row>
    <row r="298" spans="1:2" x14ac:dyDescent="0.2">
      <c r="A298" s="57"/>
      <c r="B298" s="57"/>
    </row>
    <row r="299" spans="1:2" x14ac:dyDescent="0.2">
      <c r="A299" s="57"/>
      <c r="B299" s="57"/>
    </row>
    <row r="300" spans="1:2" x14ac:dyDescent="0.2">
      <c r="A300" s="57"/>
      <c r="B300" s="57"/>
    </row>
    <row r="301" spans="1:2" x14ac:dyDescent="0.2">
      <c r="A301" s="57"/>
      <c r="B301" s="57"/>
    </row>
    <row r="302" spans="1:2" x14ac:dyDescent="0.2">
      <c r="A302" s="57"/>
      <c r="B302" s="57"/>
    </row>
    <row r="303" spans="1:2" x14ac:dyDescent="0.2">
      <c r="A303" s="57"/>
      <c r="B303" s="57"/>
    </row>
    <row r="304" spans="1:2" x14ac:dyDescent="0.2">
      <c r="A304" s="57"/>
      <c r="B304" s="57"/>
    </row>
    <row r="305" spans="1:2" x14ac:dyDescent="0.2">
      <c r="A305" s="57"/>
      <c r="B305" s="57"/>
    </row>
    <row r="306" spans="1:2" x14ac:dyDescent="0.2">
      <c r="A306" s="57"/>
      <c r="B306" s="57"/>
    </row>
    <row r="307" spans="1:2" x14ac:dyDescent="0.2">
      <c r="A307" s="57"/>
      <c r="B307" s="57"/>
    </row>
    <row r="308" spans="1:2" x14ac:dyDescent="0.2">
      <c r="A308" s="57"/>
      <c r="B308" s="57"/>
    </row>
    <row r="309" spans="1:2" x14ac:dyDescent="0.2">
      <c r="A309" s="57"/>
      <c r="B309" s="57"/>
    </row>
    <row r="310" spans="1:2" x14ac:dyDescent="0.2">
      <c r="A310" s="57"/>
      <c r="B310" s="57"/>
    </row>
    <row r="311" spans="1:2" x14ac:dyDescent="0.2">
      <c r="A311" s="57"/>
      <c r="B311" s="57"/>
    </row>
    <row r="312" spans="1:2" x14ac:dyDescent="0.2">
      <c r="A312" s="57"/>
      <c r="B312" s="57"/>
    </row>
    <row r="313" spans="1:2" x14ac:dyDescent="0.2">
      <c r="A313" s="57"/>
      <c r="B313" s="57"/>
    </row>
    <row r="314" spans="1:2" x14ac:dyDescent="0.2">
      <c r="A314" s="57"/>
      <c r="B314" s="57"/>
    </row>
    <row r="315" spans="1:2" x14ac:dyDescent="0.2">
      <c r="A315" s="57"/>
      <c r="B315" s="57"/>
    </row>
    <row r="316" spans="1:2" x14ac:dyDescent="0.2">
      <c r="A316" s="57"/>
      <c r="B316" s="57"/>
    </row>
    <row r="317" spans="1:2" x14ac:dyDescent="0.2">
      <c r="A317" s="57"/>
      <c r="B317" s="57"/>
    </row>
    <row r="318" spans="1:2" x14ac:dyDescent="0.2">
      <c r="A318" s="57"/>
      <c r="B318" s="57"/>
    </row>
    <row r="319" spans="1:2" x14ac:dyDescent="0.2">
      <c r="A319" s="57"/>
      <c r="B319" s="57"/>
    </row>
    <row r="320" spans="1:2" x14ac:dyDescent="0.2">
      <c r="A320" s="57"/>
      <c r="B320" s="57"/>
    </row>
    <row r="321" spans="1:2" x14ac:dyDescent="0.2">
      <c r="A321" s="57"/>
      <c r="B321" s="57"/>
    </row>
    <row r="322" spans="1:2" x14ac:dyDescent="0.2">
      <c r="A322" s="57"/>
      <c r="B322" s="57"/>
    </row>
    <row r="323" spans="1:2" x14ac:dyDescent="0.2">
      <c r="A323" s="57"/>
      <c r="B323" s="57"/>
    </row>
    <row r="324" spans="1:2" x14ac:dyDescent="0.2">
      <c r="A324" s="57"/>
      <c r="B324" s="57"/>
    </row>
    <row r="325" spans="1:2" x14ac:dyDescent="0.2">
      <c r="A325" s="57"/>
      <c r="B325" s="57"/>
    </row>
    <row r="326" spans="1:2" x14ac:dyDescent="0.2">
      <c r="A326" s="57"/>
      <c r="B326" s="57"/>
    </row>
    <row r="327" spans="1:2" x14ac:dyDescent="0.2">
      <c r="A327" s="57"/>
      <c r="B327" s="57"/>
    </row>
    <row r="328" spans="1:2" x14ac:dyDescent="0.2">
      <c r="A328" s="57"/>
      <c r="B328" s="57"/>
    </row>
    <row r="329" spans="1:2" x14ac:dyDescent="0.2">
      <c r="A329" s="57"/>
      <c r="B329" s="57"/>
    </row>
    <row r="330" spans="1:2" x14ac:dyDescent="0.2">
      <c r="A330" s="57"/>
      <c r="B330" s="57"/>
    </row>
    <row r="331" spans="1:2" x14ac:dyDescent="0.2">
      <c r="A331" s="57"/>
      <c r="B331" s="57"/>
    </row>
    <row r="332" spans="1:2" x14ac:dyDescent="0.2">
      <c r="A332" s="57"/>
      <c r="B332" s="57"/>
    </row>
    <row r="333" spans="1:2" x14ac:dyDescent="0.2">
      <c r="A333" s="57"/>
      <c r="B333" s="57"/>
    </row>
    <row r="334" spans="1:2" x14ac:dyDescent="0.2">
      <c r="A334" s="57"/>
      <c r="B334" s="57"/>
    </row>
    <row r="335" spans="1:2" x14ac:dyDescent="0.2">
      <c r="A335" s="57"/>
      <c r="B335" s="57"/>
    </row>
    <row r="336" spans="1:2" x14ac:dyDescent="0.2">
      <c r="A336" s="57"/>
      <c r="B336" s="57"/>
    </row>
    <row r="337" spans="1:2" x14ac:dyDescent="0.2">
      <c r="A337" s="57"/>
      <c r="B337" s="57"/>
    </row>
    <row r="338" spans="1:2" x14ac:dyDescent="0.2">
      <c r="A338" s="57"/>
      <c r="B338" s="57"/>
    </row>
    <row r="339" spans="1:2" x14ac:dyDescent="0.2">
      <c r="A339" s="57"/>
      <c r="B339" s="57"/>
    </row>
    <row r="340" spans="1:2" x14ac:dyDescent="0.2">
      <c r="A340" s="57"/>
      <c r="B340" s="57"/>
    </row>
    <row r="341" spans="1:2" x14ac:dyDescent="0.2">
      <c r="A341" s="57"/>
      <c r="B341" s="57"/>
    </row>
    <row r="342" spans="1:2" x14ac:dyDescent="0.2">
      <c r="A342" s="57"/>
      <c r="B342" s="57"/>
    </row>
    <row r="343" spans="1:2" x14ac:dyDescent="0.2">
      <c r="A343" s="57"/>
      <c r="B343" s="57"/>
    </row>
    <row r="344" spans="1:2" x14ac:dyDescent="0.2">
      <c r="A344" s="57"/>
      <c r="B344" s="57"/>
    </row>
    <row r="345" spans="1:2" x14ac:dyDescent="0.2">
      <c r="A345" s="57"/>
      <c r="B345" s="57"/>
    </row>
    <row r="346" spans="1:2" x14ac:dyDescent="0.2">
      <c r="A346" s="57"/>
      <c r="B346" s="57"/>
    </row>
    <row r="347" spans="1:2" x14ac:dyDescent="0.2">
      <c r="A347" s="57"/>
      <c r="B347" s="57"/>
    </row>
    <row r="348" spans="1:2" x14ac:dyDescent="0.2">
      <c r="A348" s="57"/>
      <c r="B348" s="57"/>
    </row>
    <row r="349" spans="1:2" x14ac:dyDescent="0.2">
      <c r="A349" s="57"/>
      <c r="B349" s="57"/>
    </row>
    <row r="350" spans="1:2" x14ac:dyDescent="0.2">
      <c r="A350" s="57"/>
      <c r="B350" s="57"/>
    </row>
    <row r="351" spans="1:2" x14ac:dyDescent="0.2">
      <c r="A351" s="57"/>
      <c r="B351" s="57"/>
    </row>
    <row r="352" spans="1:2" x14ac:dyDescent="0.2">
      <c r="A352" s="57"/>
      <c r="B352" s="57"/>
    </row>
    <row r="353" spans="1:2" x14ac:dyDescent="0.2">
      <c r="A353" s="57"/>
      <c r="B353" s="57"/>
    </row>
    <row r="354" spans="1:2" x14ac:dyDescent="0.2">
      <c r="A354" s="57"/>
      <c r="B354" s="57"/>
    </row>
    <row r="355" spans="1:2" x14ac:dyDescent="0.2">
      <c r="A355" s="57"/>
      <c r="B355" s="57"/>
    </row>
    <row r="356" spans="1:2" x14ac:dyDescent="0.2">
      <c r="A356" s="57"/>
      <c r="B356" s="57"/>
    </row>
    <row r="357" spans="1:2" x14ac:dyDescent="0.2">
      <c r="A357" s="57"/>
      <c r="B357" s="57"/>
    </row>
    <row r="358" spans="1:2" x14ac:dyDescent="0.2">
      <c r="A358" s="57"/>
      <c r="B358" s="57"/>
    </row>
    <row r="359" spans="1:2" x14ac:dyDescent="0.2">
      <c r="A359" s="57"/>
      <c r="B359" s="57"/>
    </row>
    <row r="360" spans="1:2" x14ac:dyDescent="0.2">
      <c r="A360" s="57"/>
      <c r="B360" s="57"/>
    </row>
    <row r="361" spans="1:2" x14ac:dyDescent="0.2">
      <c r="A361" s="57"/>
      <c r="B361" s="57"/>
    </row>
    <row r="362" spans="1:2" x14ac:dyDescent="0.2">
      <c r="A362" s="57"/>
      <c r="B362" s="57"/>
    </row>
    <row r="363" spans="1:2" x14ac:dyDescent="0.2">
      <c r="A363" s="57"/>
      <c r="B363" s="57"/>
    </row>
    <row r="364" spans="1:2" x14ac:dyDescent="0.2">
      <c r="A364" s="57"/>
      <c r="B364" s="57"/>
    </row>
    <row r="365" spans="1:2" x14ac:dyDescent="0.2">
      <c r="A365" s="57"/>
      <c r="B365" s="57"/>
    </row>
    <row r="366" spans="1:2" x14ac:dyDescent="0.2">
      <c r="A366" s="57"/>
      <c r="B366" s="57"/>
    </row>
    <row r="367" spans="1:2" x14ac:dyDescent="0.2">
      <c r="A367" s="57"/>
      <c r="B367" s="57"/>
    </row>
    <row r="368" spans="1:2" x14ac:dyDescent="0.2">
      <c r="A368" s="57"/>
      <c r="B368" s="57"/>
    </row>
    <row r="369" spans="1:2" x14ac:dyDescent="0.2">
      <c r="A369" s="57"/>
      <c r="B369" s="57"/>
    </row>
    <row r="370" spans="1:2" x14ac:dyDescent="0.2">
      <c r="A370" s="57"/>
      <c r="B370" s="57"/>
    </row>
    <row r="371" spans="1:2" x14ac:dyDescent="0.2">
      <c r="A371" s="57"/>
      <c r="B371" s="57"/>
    </row>
    <row r="372" spans="1:2" x14ac:dyDescent="0.2">
      <c r="A372" s="57"/>
      <c r="B372" s="57"/>
    </row>
    <row r="373" spans="1:2" x14ac:dyDescent="0.2">
      <c r="A373" s="57"/>
      <c r="B373" s="57"/>
    </row>
    <row r="374" spans="1:2" x14ac:dyDescent="0.2">
      <c r="A374" s="57"/>
      <c r="B374" s="57"/>
    </row>
    <row r="375" spans="1:2" x14ac:dyDescent="0.2">
      <c r="A375" s="57"/>
      <c r="B375" s="57"/>
    </row>
    <row r="376" spans="1:2" x14ac:dyDescent="0.2">
      <c r="A376" s="57"/>
      <c r="B376" s="57"/>
    </row>
    <row r="377" spans="1:2" x14ac:dyDescent="0.2">
      <c r="A377" s="57"/>
      <c r="B377" s="57"/>
    </row>
    <row r="378" spans="1:2" x14ac:dyDescent="0.2">
      <c r="A378" s="57"/>
      <c r="B378" s="57"/>
    </row>
    <row r="379" spans="1:2" x14ac:dyDescent="0.2">
      <c r="A379" s="57"/>
      <c r="B379" s="57"/>
    </row>
    <row r="380" spans="1:2" x14ac:dyDescent="0.2">
      <c r="A380" s="57"/>
      <c r="B380" s="57"/>
    </row>
    <row r="381" spans="1:2" x14ac:dyDescent="0.2">
      <c r="A381" s="57"/>
      <c r="B381" s="57"/>
    </row>
    <row r="382" spans="1:2" x14ac:dyDescent="0.2">
      <c r="A382" s="57"/>
      <c r="B382" s="57"/>
    </row>
    <row r="383" spans="1:2" x14ac:dyDescent="0.2">
      <c r="A383" s="57"/>
      <c r="B383" s="57"/>
    </row>
    <row r="384" spans="1:2" x14ac:dyDescent="0.2">
      <c r="A384" s="57"/>
      <c r="B384" s="57"/>
    </row>
    <row r="385" spans="1:2" x14ac:dyDescent="0.2">
      <c r="A385" s="57"/>
      <c r="B385" s="57"/>
    </row>
    <row r="386" spans="1:2" x14ac:dyDescent="0.2">
      <c r="A386" s="57"/>
      <c r="B386" s="57"/>
    </row>
    <row r="387" spans="1:2" x14ac:dyDescent="0.2">
      <c r="A387" s="57"/>
      <c r="B387" s="57"/>
    </row>
    <row r="388" spans="1:2" x14ac:dyDescent="0.2">
      <c r="A388" s="57"/>
      <c r="B388" s="57"/>
    </row>
    <row r="389" spans="1:2" x14ac:dyDescent="0.2">
      <c r="A389" s="57"/>
      <c r="B389" s="57"/>
    </row>
    <row r="390" spans="1:2" x14ac:dyDescent="0.2">
      <c r="A390" s="57"/>
      <c r="B390" s="57"/>
    </row>
    <row r="391" spans="1:2" x14ac:dyDescent="0.2">
      <c r="A391" s="57"/>
      <c r="B391" s="57"/>
    </row>
    <row r="392" spans="1:2" x14ac:dyDescent="0.2">
      <c r="A392" s="57"/>
      <c r="B392" s="57"/>
    </row>
    <row r="393" spans="1:2" x14ac:dyDescent="0.2">
      <c r="A393" s="57"/>
      <c r="B393" s="57"/>
    </row>
    <row r="394" spans="1:2" x14ac:dyDescent="0.2">
      <c r="A394" s="57"/>
      <c r="B394" s="57"/>
    </row>
    <row r="395" spans="1:2" x14ac:dyDescent="0.2">
      <c r="A395" s="57"/>
      <c r="B395" s="57"/>
    </row>
    <row r="396" spans="1:2" x14ac:dyDescent="0.2">
      <c r="A396" s="57"/>
      <c r="B396" s="57"/>
    </row>
    <row r="397" spans="1:2" x14ac:dyDescent="0.2">
      <c r="A397" s="57"/>
      <c r="B397" s="57"/>
    </row>
    <row r="398" spans="1:2" x14ac:dyDescent="0.2">
      <c r="A398" s="57"/>
      <c r="B398" s="57"/>
    </row>
    <row r="399" spans="1:2" x14ac:dyDescent="0.2">
      <c r="A399" s="57"/>
      <c r="B399" s="57"/>
    </row>
    <row r="400" spans="1:2" x14ac:dyDescent="0.2">
      <c r="A400" s="57"/>
      <c r="B400" s="57"/>
    </row>
    <row r="401" spans="1:2" x14ac:dyDescent="0.2">
      <c r="A401" s="57"/>
      <c r="B401" s="57"/>
    </row>
    <row r="402" spans="1:2" x14ac:dyDescent="0.2">
      <c r="A402" s="57"/>
      <c r="B402" s="57"/>
    </row>
    <row r="403" spans="1:2" x14ac:dyDescent="0.2">
      <c r="A403" s="57"/>
      <c r="B403" s="57"/>
    </row>
    <row r="404" spans="1:2" x14ac:dyDescent="0.2">
      <c r="A404" s="57"/>
      <c r="B404" s="57"/>
    </row>
    <row r="405" spans="1:2" x14ac:dyDescent="0.2">
      <c r="A405" s="57"/>
      <c r="B405" s="57"/>
    </row>
    <row r="406" spans="1:2" x14ac:dyDescent="0.2">
      <c r="A406" s="57"/>
      <c r="B406" s="57"/>
    </row>
    <row r="407" spans="1:2" x14ac:dyDescent="0.2">
      <c r="A407" s="57"/>
      <c r="B407" s="57"/>
    </row>
    <row r="408" spans="1:2" x14ac:dyDescent="0.2">
      <c r="A408" s="57"/>
      <c r="B408" s="57"/>
    </row>
    <row r="409" spans="1:2" x14ac:dyDescent="0.2">
      <c r="A409" s="57"/>
      <c r="B409" s="57"/>
    </row>
    <row r="410" spans="1:2" x14ac:dyDescent="0.2">
      <c r="A410" s="57"/>
      <c r="B410" s="57"/>
    </row>
    <row r="411" spans="1:2" x14ac:dyDescent="0.2">
      <c r="A411" s="57"/>
      <c r="B411" s="57"/>
    </row>
    <row r="412" spans="1:2" x14ac:dyDescent="0.2">
      <c r="A412" s="57"/>
      <c r="B412" s="57"/>
    </row>
    <row r="413" spans="1:2" x14ac:dyDescent="0.2">
      <c r="A413" s="57"/>
      <c r="B413" s="57"/>
    </row>
    <row r="414" spans="1:2" x14ac:dyDescent="0.2">
      <c r="A414" s="57"/>
      <c r="B414" s="57"/>
    </row>
    <row r="415" spans="1:2" x14ac:dyDescent="0.2">
      <c r="A415" s="57"/>
      <c r="B415" s="57"/>
    </row>
    <row r="416" spans="1:2" x14ac:dyDescent="0.2">
      <c r="A416" s="57"/>
      <c r="B416" s="57"/>
    </row>
    <row r="417" spans="1:2" x14ac:dyDescent="0.2">
      <c r="A417" s="57"/>
      <c r="B417" s="57"/>
    </row>
    <row r="418" spans="1:2" x14ac:dyDescent="0.2">
      <c r="A418" s="57"/>
      <c r="B418" s="57"/>
    </row>
    <row r="419" spans="1:2" x14ac:dyDescent="0.2">
      <c r="A419" s="57"/>
      <c r="B419" s="57"/>
    </row>
    <row r="420" spans="1:2" x14ac:dyDescent="0.2">
      <c r="A420" s="57"/>
      <c r="B420" s="57"/>
    </row>
    <row r="421" spans="1:2" x14ac:dyDescent="0.2">
      <c r="A421" s="57"/>
      <c r="B421" s="57"/>
    </row>
    <row r="422" spans="1:2" x14ac:dyDescent="0.2">
      <c r="A422" s="57"/>
      <c r="B422" s="57"/>
    </row>
    <row r="423" spans="1:2" x14ac:dyDescent="0.2">
      <c r="A423" s="57"/>
      <c r="B423" s="57"/>
    </row>
    <row r="424" spans="1:2" x14ac:dyDescent="0.2">
      <c r="A424" s="57"/>
      <c r="B424" s="57"/>
    </row>
    <row r="425" spans="1:2" x14ac:dyDescent="0.2">
      <c r="A425" s="57"/>
      <c r="B425" s="57"/>
    </row>
    <row r="426" spans="1:2" x14ac:dyDescent="0.2">
      <c r="A426" s="57"/>
      <c r="B426" s="57"/>
    </row>
    <row r="427" spans="1:2" x14ac:dyDescent="0.2">
      <c r="A427" s="57"/>
      <c r="B427" s="57"/>
    </row>
    <row r="428" spans="1:2" x14ac:dyDescent="0.2">
      <c r="A428" s="57"/>
      <c r="B428" s="57"/>
    </row>
    <row r="429" spans="1:2" x14ac:dyDescent="0.2">
      <c r="A429" s="57"/>
      <c r="B429" s="57"/>
    </row>
    <row r="430" spans="1:2" x14ac:dyDescent="0.2">
      <c r="A430" s="57"/>
      <c r="B430" s="57"/>
    </row>
    <row r="431" spans="1:2" x14ac:dyDescent="0.2">
      <c r="A431" s="57"/>
      <c r="B431" s="57"/>
    </row>
    <row r="432" spans="1:2" x14ac:dyDescent="0.2">
      <c r="A432" s="57"/>
      <c r="B432" s="57"/>
    </row>
    <row r="433" spans="1:2" x14ac:dyDescent="0.2">
      <c r="A433" s="57"/>
      <c r="B433" s="57"/>
    </row>
    <row r="434" spans="1:2" x14ac:dyDescent="0.2">
      <c r="A434" s="57"/>
      <c r="B434" s="57"/>
    </row>
    <row r="435" spans="1:2" x14ac:dyDescent="0.2">
      <c r="A435" s="57"/>
      <c r="B435" s="57"/>
    </row>
    <row r="436" spans="1:2" x14ac:dyDescent="0.2">
      <c r="A436" s="57"/>
      <c r="B436" s="57"/>
    </row>
    <row r="437" spans="1:2" x14ac:dyDescent="0.2">
      <c r="A437" s="57"/>
      <c r="B437" s="57"/>
    </row>
    <row r="438" spans="1:2" x14ac:dyDescent="0.2">
      <c r="A438" s="57"/>
      <c r="B438" s="57"/>
    </row>
    <row r="439" spans="1:2" x14ac:dyDescent="0.2">
      <c r="A439" s="57"/>
      <c r="B439" s="57"/>
    </row>
    <row r="440" spans="1:2" x14ac:dyDescent="0.2">
      <c r="A440" s="57"/>
      <c r="B440" s="57"/>
    </row>
    <row r="441" spans="1:2" x14ac:dyDescent="0.2">
      <c r="A441" s="57"/>
      <c r="B441" s="57"/>
    </row>
    <row r="442" spans="1:2" x14ac:dyDescent="0.2">
      <c r="A442" s="57"/>
      <c r="B442" s="57"/>
    </row>
    <row r="443" spans="1:2" x14ac:dyDescent="0.2">
      <c r="A443" s="57"/>
      <c r="B443" s="57"/>
    </row>
    <row r="444" spans="1:2" x14ac:dyDescent="0.2">
      <c r="A444" s="57"/>
      <c r="B444" s="57"/>
    </row>
    <row r="445" spans="1:2" x14ac:dyDescent="0.2">
      <c r="A445" s="57"/>
      <c r="B445" s="57"/>
    </row>
    <row r="446" spans="1:2" x14ac:dyDescent="0.2">
      <c r="A446" s="57"/>
      <c r="B446" s="57"/>
    </row>
    <row r="447" spans="1:2" x14ac:dyDescent="0.2">
      <c r="A447" s="57"/>
      <c r="B447" s="57"/>
    </row>
    <row r="448" spans="1:2" x14ac:dyDescent="0.2">
      <c r="A448" s="57"/>
      <c r="B448" s="57"/>
    </row>
    <row r="449" spans="1:2" x14ac:dyDescent="0.2">
      <c r="A449" s="57"/>
      <c r="B449" s="57"/>
    </row>
    <row r="450" spans="1:2" x14ac:dyDescent="0.2">
      <c r="A450" s="57"/>
      <c r="B450" s="57"/>
    </row>
    <row r="451" spans="1:2" x14ac:dyDescent="0.2">
      <c r="A451" s="57"/>
      <c r="B451" s="57"/>
    </row>
    <row r="452" spans="1:2" x14ac:dyDescent="0.2">
      <c r="A452" s="57"/>
      <c r="B452" s="57"/>
    </row>
    <row r="453" spans="1:2" x14ac:dyDescent="0.2">
      <c r="A453" s="57"/>
      <c r="B453" s="57"/>
    </row>
    <row r="454" spans="1:2" x14ac:dyDescent="0.2">
      <c r="A454" s="57"/>
      <c r="B454" s="57"/>
    </row>
    <row r="455" spans="1:2" x14ac:dyDescent="0.2">
      <c r="A455" s="57"/>
      <c r="B455" s="57"/>
    </row>
    <row r="456" spans="1:2" x14ac:dyDescent="0.2">
      <c r="A456" s="57"/>
      <c r="B456" s="57"/>
    </row>
    <row r="457" spans="1:2" x14ac:dyDescent="0.2">
      <c r="A457" s="57"/>
      <c r="B457" s="57"/>
    </row>
    <row r="458" spans="1:2" x14ac:dyDescent="0.2">
      <c r="A458" s="57"/>
      <c r="B458" s="57"/>
    </row>
    <row r="459" spans="1:2" x14ac:dyDescent="0.2">
      <c r="A459" s="57"/>
      <c r="B459" s="57"/>
    </row>
    <row r="460" spans="1:2" x14ac:dyDescent="0.2">
      <c r="A460" s="57"/>
      <c r="B460" s="57"/>
    </row>
    <row r="461" spans="1:2" x14ac:dyDescent="0.2">
      <c r="A461" s="57"/>
      <c r="B461" s="57"/>
    </row>
    <row r="462" spans="1:2" x14ac:dyDescent="0.2">
      <c r="A462" s="57"/>
      <c r="B462" s="57"/>
    </row>
    <row r="463" spans="1:2" x14ac:dyDescent="0.2">
      <c r="A463" s="57"/>
      <c r="B463" s="57"/>
    </row>
    <row r="464" spans="1:2" x14ac:dyDescent="0.2">
      <c r="A464" s="57"/>
      <c r="B464" s="57"/>
    </row>
    <row r="465" spans="1:2" x14ac:dyDescent="0.2">
      <c r="A465" s="57"/>
      <c r="B465" s="57"/>
    </row>
    <row r="466" spans="1:2" x14ac:dyDescent="0.2">
      <c r="A466" s="57"/>
      <c r="B466" s="57"/>
    </row>
    <row r="467" spans="1:2" x14ac:dyDescent="0.2">
      <c r="A467" s="57"/>
      <c r="B467" s="57"/>
    </row>
    <row r="468" spans="1:2" x14ac:dyDescent="0.2">
      <c r="A468" s="57"/>
      <c r="B468" s="57"/>
    </row>
    <row r="469" spans="1:2" x14ac:dyDescent="0.2">
      <c r="A469" s="57"/>
      <c r="B469" s="57"/>
    </row>
    <row r="470" spans="1:2" x14ac:dyDescent="0.2">
      <c r="A470" s="57"/>
      <c r="B470" s="57"/>
    </row>
    <row r="471" spans="1:2" x14ac:dyDescent="0.2">
      <c r="A471" s="57"/>
      <c r="B471" s="57"/>
    </row>
    <row r="472" spans="1:2" x14ac:dyDescent="0.2">
      <c r="A472" s="57"/>
      <c r="B472" s="57"/>
    </row>
    <row r="473" spans="1:2" x14ac:dyDescent="0.2">
      <c r="A473" s="57"/>
      <c r="B473" s="57"/>
    </row>
    <row r="474" spans="1:2" x14ac:dyDescent="0.2">
      <c r="A474" s="57"/>
      <c r="B474" s="57"/>
    </row>
    <row r="475" spans="1:2" x14ac:dyDescent="0.2">
      <c r="A475" s="57"/>
      <c r="B475" s="57"/>
    </row>
    <row r="476" spans="1:2" x14ac:dyDescent="0.2">
      <c r="A476" s="57"/>
      <c r="B476" s="57"/>
    </row>
    <row r="477" spans="1:2" x14ac:dyDescent="0.2">
      <c r="A477" s="57"/>
      <c r="B477" s="57"/>
    </row>
    <row r="478" spans="1:2" x14ac:dyDescent="0.2">
      <c r="A478" s="57"/>
      <c r="B478" s="57"/>
    </row>
    <row r="479" spans="1:2" x14ac:dyDescent="0.2">
      <c r="A479" s="57"/>
      <c r="B479" s="57"/>
    </row>
    <row r="480" spans="1:2" x14ac:dyDescent="0.2">
      <c r="A480" s="57"/>
      <c r="B480" s="57"/>
    </row>
    <row r="481" spans="1:2" x14ac:dyDescent="0.2">
      <c r="A481" s="57"/>
      <c r="B481" s="57"/>
    </row>
    <row r="482" spans="1:2" x14ac:dyDescent="0.2">
      <c r="A482" s="57"/>
      <c r="B482" s="57"/>
    </row>
    <row r="483" spans="1:2" x14ac:dyDescent="0.2">
      <c r="A483" s="57"/>
      <c r="B483" s="57"/>
    </row>
    <row r="484" spans="1:2" x14ac:dyDescent="0.2">
      <c r="A484" s="57"/>
      <c r="B484" s="57"/>
    </row>
    <row r="485" spans="1:2" x14ac:dyDescent="0.2">
      <c r="A485" s="57"/>
      <c r="B485" s="57"/>
    </row>
    <row r="486" spans="1:2" x14ac:dyDescent="0.2">
      <c r="A486" s="57"/>
      <c r="B486" s="57"/>
    </row>
    <row r="487" spans="1:2" x14ac:dyDescent="0.2">
      <c r="A487" s="57"/>
      <c r="B487" s="57"/>
    </row>
    <row r="488" spans="1:2" x14ac:dyDescent="0.2">
      <c r="A488" s="57"/>
      <c r="B488" s="57"/>
    </row>
    <row r="489" spans="1:2" x14ac:dyDescent="0.2">
      <c r="A489" s="57"/>
      <c r="B489" s="57"/>
    </row>
    <row r="490" spans="1:2" x14ac:dyDescent="0.2">
      <c r="A490" s="57"/>
      <c r="B490" s="57"/>
    </row>
    <row r="491" spans="1:2" x14ac:dyDescent="0.2">
      <c r="A491" s="57"/>
      <c r="B491" s="57"/>
    </row>
    <row r="492" spans="1:2" x14ac:dyDescent="0.2">
      <c r="A492" s="57"/>
      <c r="B492" s="57"/>
    </row>
    <row r="493" spans="1:2" x14ac:dyDescent="0.2">
      <c r="A493" s="57"/>
      <c r="B493" s="57"/>
    </row>
    <row r="494" spans="1:2" x14ac:dyDescent="0.2">
      <c r="A494" s="57"/>
      <c r="B494" s="57"/>
    </row>
    <row r="495" spans="1:2" x14ac:dyDescent="0.2">
      <c r="A495" s="57"/>
      <c r="B495" s="57"/>
    </row>
    <row r="496" spans="1:2" x14ac:dyDescent="0.2">
      <c r="A496" s="57"/>
      <c r="B496" s="57"/>
    </row>
    <row r="497" spans="1:2" x14ac:dyDescent="0.2">
      <c r="A497" s="57"/>
      <c r="B497" s="57"/>
    </row>
    <row r="498" spans="1:2" x14ac:dyDescent="0.2">
      <c r="A498" s="57"/>
      <c r="B498" s="57"/>
    </row>
    <row r="499" spans="1:2" x14ac:dyDescent="0.2">
      <c r="A499" s="57"/>
      <c r="B499" s="57"/>
    </row>
    <row r="500" spans="1:2" x14ac:dyDescent="0.2">
      <c r="A500" s="57"/>
      <c r="B500" s="57"/>
    </row>
    <row r="501" spans="1:2" x14ac:dyDescent="0.2">
      <c r="A501" s="57"/>
      <c r="B501" s="57"/>
    </row>
    <row r="502" spans="1:2" x14ac:dyDescent="0.2">
      <c r="A502" s="57"/>
      <c r="B502" s="57"/>
    </row>
    <row r="503" spans="1:2" x14ac:dyDescent="0.2">
      <c r="A503" s="57"/>
      <c r="B503" s="57"/>
    </row>
    <row r="504" spans="1:2" x14ac:dyDescent="0.2">
      <c r="A504" s="57"/>
      <c r="B504" s="57"/>
    </row>
    <row r="505" spans="1:2" x14ac:dyDescent="0.2">
      <c r="A505" s="57"/>
      <c r="B505" s="57"/>
    </row>
    <row r="506" spans="1:2" x14ac:dyDescent="0.2">
      <c r="A506" s="57"/>
      <c r="B506" s="57"/>
    </row>
    <row r="507" spans="1:2" x14ac:dyDescent="0.2">
      <c r="A507" s="57"/>
      <c r="B507" s="57"/>
    </row>
    <row r="508" spans="1:2" x14ac:dyDescent="0.2">
      <c r="A508" s="57"/>
      <c r="B508" s="57"/>
    </row>
    <row r="509" spans="1:2" x14ac:dyDescent="0.2">
      <c r="A509" s="57"/>
      <c r="B509" s="57"/>
    </row>
    <row r="510" spans="1:2" x14ac:dyDescent="0.2">
      <c r="A510" s="57"/>
      <c r="B510" s="57"/>
    </row>
    <row r="511" spans="1:2" x14ac:dyDescent="0.2">
      <c r="A511" s="57"/>
      <c r="B511" s="57"/>
    </row>
    <row r="512" spans="1:2" x14ac:dyDescent="0.2">
      <c r="A512" s="57"/>
      <c r="B512" s="57"/>
    </row>
    <row r="513" spans="1:2" x14ac:dyDescent="0.2">
      <c r="A513" s="57"/>
      <c r="B513" s="57"/>
    </row>
    <row r="514" spans="1:2" x14ac:dyDescent="0.2">
      <c r="A514" s="57"/>
      <c r="B514" s="57"/>
    </row>
    <row r="515" spans="1:2" x14ac:dyDescent="0.2">
      <c r="A515" s="57"/>
      <c r="B515" s="57"/>
    </row>
    <row r="516" spans="1:2" x14ac:dyDescent="0.2">
      <c r="A516" s="57"/>
      <c r="B516" s="57"/>
    </row>
    <row r="517" spans="1:2" x14ac:dyDescent="0.2">
      <c r="A517" s="57"/>
      <c r="B517" s="57"/>
    </row>
    <row r="518" spans="1:2" x14ac:dyDescent="0.2">
      <c r="A518" s="57"/>
      <c r="B518" s="57"/>
    </row>
    <row r="519" spans="1:2" x14ac:dyDescent="0.2">
      <c r="A519" s="57"/>
      <c r="B519" s="57"/>
    </row>
    <row r="520" spans="1:2" x14ac:dyDescent="0.2">
      <c r="A520" s="57"/>
      <c r="B520" s="57"/>
    </row>
    <row r="521" spans="1:2" x14ac:dyDescent="0.2">
      <c r="A521" s="57"/>
      <c r="B521" s="57"/>
    </row>
    <row r="522" spans="1:2" x14ac:dyDescent="0.2">
      <c r="A522" s="57"/>
      <c r="B522" s="57"/>
    </row>
    <row r="523" spans="1:2" x14ac:dyDescent="0.2">
      <c r="A523" s="57"/>
      <c r="B523" s="57"/>
    </row>
    <row r="524" spans="1:2" x14ac:dyDescent="0.2">
      <c r="A524" s="57"/>
      <c r="B524" s="57"/>
    </row>
    <row r="525" spans="1:2" x14ac:dyDescent="0.2">
      <c r="A525" s="57"/>
      <c r="B525" s="57"/>
    </row>
    <row r="526" spans="1:2" x14ac:dyDescent="0.2">
      <c r="A526" s="57"/>
      <c r="B526" s="57"/>
    </row>
    <row r="527" spans="1:2" x14ac:dyDescent="0.2">
      <c r="A527" s="57"/>
      <c r="B527" s="57"/>
    </row>
    <row r="528" spans="1:2" x14ac:dyDescent="0.2">
      <c r="A528" s="57"/>
      <c r="B528" s="57"/>
    </row>
    <row r="529" spans="1:2" x14ac:dyDescent="0.2">
      <c r="A529" s="57"/>
      <c r="B529" s="57"/>
    </row>
    <row r="530" spans="1:2" x14ac:dyDescent="0.2">
      <c r="A530" s="57"/>
      <c r="B530" s="57"/>
    </row>
    <row r="531" spans="1:2" x14ac:dyDescent="0.2">
      <c r="A531" s="57"/>
      <c r="B531" s="57"/>
    </row>
    <row r="532" spans="1:2" x14ac:dyDescent="0.2">
      <c r="A532" s="57"/>
      <c r="B532" s="57"/>
    </row>
    <row r="533" spans="1:2" x14ac:dyDescent="0.2">
      <c r="A533" s="57"/>
      <c r="B533" s="57"/>
    </row>
    <row r="534" spans="1:2" x14ac:dyDescent="0.2">
      <c r="A534" s="57"/>
      <c r="B534" s="57"/>
    </row>
    <row r="535" spans="1:2" x14ac:dyDescent="0.2">
      <c r="A535" s="57"/>
      <c r="B535" s="57"/>
    </row>
    <row r="536" spans="1:2" x14ac:dyDescent="0.2">
      <c r="A536" s="57"/>
      <c r="B536" s="57"/>
    </row>
    <row r="537" spans="1:2" x14ac:dyDescent="0.2">
      <c r="A537" s="57"/>
      <c r="B537" s="57"/>
    </row>
    <row r="538" spans="1:2" x14ac:dyDescent="0.2">
      <c r="A538" s="57"/>
      <c r="B538" s="57"/>
    </row>
    <row r="539" spans="1:2" x14ac:dyDescent="0.2">
      <c r="A539" s="57"/>
      <c r="B539" s="57"/>
    </row>
    <row r="540" spans="1:2" x14ac:dyDescent="0.2">
      <c r="A540" s="57"/>
      <c r="B540" s="57"/>
    </row>
    <row r="541" spans="1:2" x14ac:dyDescent="0.2">
      <c r="A541" s="57"/>
      <c r="B541" s="57"/>
    </row>
    <row r="542" spans="1:2" x14ac:dyDescent="0.2">
      <c r="A542" s="57"/>
      <c r="B542" s="57"/>
    </row>
    <row r="543" spans="1:2" x14ac:dyDescent="0.2">
      <c r="A543" s="57"/>
      <c r="B543" s="57"/>
    </row>
    <row r="544" spans="1:2" x14ac:dyDescent="0.2">
      <c r="A544" s="57"/>
      <c r="B544" s="57"/>
    </row>
    <row r="545" spans="1:2" x14ac:dyDescent="0.2">
      <c r="A545" s="57"/>
      <c r="B545" s="57"/>
    </row>
    <row r="546" spans="1:2" x14ac:dyDescent="0.2">
      <c r="A546" s="57"/>
      <c r="B546" s="57"/>
    </row>
    <row r="547" spans="1:2" x14ac:dyDescent="0.2">
      <c r="A547" s="57"/>
      <c r="B547" s="57"/>
    </row>
    <row r="548" spans="1:2" x14ac:dyDescent="0.2">
      <c r="A548" s="57"/>
      <c r="B548" s="57"/>
    </row>
    <row r="549" spans="1:2" x14ac:dyDescent="0.2">
      <c r="A549" s="57"/>
      <c r="B549" s="57"/>
    </row>
    <row r="550" spans="1:2" x14ac:dyDescent="0.2">
      <c r="A550" s="57"/>
      <c r="B550" s="57"/>
    </row>
    <row r="551" spans="1:2" x14ac:dyDescent="0.2">
      <c r="A551" s="57"/>
      <c r="B551" s="57"/>
    </row>
    <row r="552" spans="1:2" x14ac:dyDescent="0.2">
      <c r="A552" s="57"/>
      <c r="B552" s="57"/>
    </row>
    <row r="553" spans="1:2" x14ac:dyDescent="0.2">
      <c r="A553" s="57"/>
      <c r="B553" s="57"/>
    </row>
    <row r="554" spans="1:2" x14ac:dyDescent="0.2">
      <c r="A554" s="57"/>
      <c r="B554" s="57"/>
    </row>
    <row r="555" spans="1:2" x14ac:dyDescent="0.2">
      <c r="A555" s="57"/>
      <c r="B555" s="57"/>
    </row>
    <row r="556" spans="1:2" x14ac:dyDescent="0.2">
      <c r="A556" s="57"/>
      <c r="B556" s="57"/>
    </row>
    <row r="557" spans="1:2" x14ac:dyDescent="0.2">
      <c r="A557" s="57"/>
      <c r="B557" s="57"/>
    </row>
    <row r="558" spans="1:2" x14ac:dyDescent="0.2">
      <c r="A558" s="57"/>
      <c r="B558" s="57"/>
    </row>
    <row r="559" spans="1:2" x14ac:dyDescent="0.2">
      <c r="A559" s="57"/>
      <c r="B559" s="57"/>
    </row>
    <row r="560" spans="1:2" x14ac:dyDescent="0.2">
      <c r="A560" s="57"/>
      <c r="B560" s="57"/>
    </row>
    <row r="561" spans="1:2" x14ac:dyDescent="0.2">
      <c r="A561" s="57"/>
      <c r="B561" s="57"/>
    </row>
    <row r="562" spans="1:2" x14ac:dyDescent="0.2">
      <c r="A562" s="57"/>
      <c r="B562" s="57"/>
    </row>
    <row r="563" spans="1:2" x14ac:dyDescent="0.2">
      <c r="A563" s="57"/>
      <c r="B563" s="57"/>
    </row>
    <row r="564" spans="1:2" x14ac:dyDescent="0.2">
      <c r="A564" s="57"/>
      <c r="B564" s="57"/>
    </row>
    <row r="565" spans="1:2" x14ac:dyDescent="0.2">
      <c r="A565" s="57"/>
      <c r="B565" s="57"/>
    </row>
    <row r="566" spans="1:2" x14ac:dyDescent="0.2">
      <c r="A566" s="57"/>
      <c r="B566" s="57"/>
    </row>
    <row r="567" spans="1:2" x14ac:dyDescent="0.2">
      <c r="A567" s="57"/>
      <c r="B567" s="57"/>
    </row>
    <row r="568" spans="1:2" x14ac:dyDescent="0.2">
      <c r="A568" s="57"/>
      <c r="B568" s="57"/>
    </row>
    <row r="569" spans="1:2" x14ac:dyDescent="0.2">
      <c r="A569" s="57"/>
      <c r="B569" s="57"/>
    </row>
    <row r="570" spans="1:2" x14ac:dyDescent="0.2">
      <c r="A570" s="57"/>
      <c r="B570" s="57"/>
    </row>
    <row r="571" spans="1:2" x14ac:dyDescent="0.2">
      <c r="A571" s="57"/>
      <c r="B571" s="57"/>
    </row>
    <row r="572" spans="1:2" x14ac:dyDescent="0.2">
      <c r="A572" s="57"/>
      <c r="B572" s="57"/>
    </row>
    <row r="573" spans="1:2" x14ac:dyDescent="0.2">
      <c r="A573" s="57"/>
      <c r="B573" s="57"/>
    </row>
    <row r="574" spans="1:2" x14ac:dyDescent="0.2">
      <c r="A574" s="57"/>
      <c r="B574" s="57"/>
    </row>
    <row r="575" spans="1:2" x14ac:dyDescent="0.2">
      <c r="A575" s="57"/>
      <c r="B575" s="57"/>
    </row>
    <row r="576" spans="1:2" x14ac:dyDescent="0.2">
      <c r="A576" s="57"/>
      <c r="B576" s="57"/>
    </row>
    <row r="577" spans="1:2" x14ac:dyDescent="0.2">
      <c r="A577" s="57"/>
      <c r="B577" s="57"/>
    </row>
    <row r="578" spans="1:2" x14ac:dyDescent="0.2">
      <c r="A578" s="57"/>
      <c r="B578" s="57"/>
    </row>
    <row r="579" spans="1:2" x14ac:dyDescent="0.2">
      <c r="A579" s="57"/>
      <c r="B579" s="57"/>
    </row>
    <row r="580" spans="1:2" x14ac:dyDescent="0.2">
      <c r="A580" s="57"/>
      <c r="B580" s="57"/>
    </row>
    <row r="581" spans="1:2" x14ac:dyDescent="0.2">
      <c r="A581" s="57"/>
      <c r="B581" s="57"/>
    </row>
    <row r="582" spans="1:2" x14ac:dyDescent="0.2">
      <c r="A582" s="57"/>
      <c r="B582" s="57"/>
    </row>
    <row r="583" spans="1:2" x14ac:dyDescent="0.2">
      <c r="A583" s="57"/>
      <c r="B583" s="57"/>
    </row>
    <row r="584" spans="1:2" x14ac:dyDescent="0.2">
      <c r="A584" s="57"/>
      <c r="B584" s="57"/>
    </row>
    <row r="585" spans="1:2" x14ac:dyDescent="0.2">
      <c r="A585" s="57"/>
      <c r="B585" s="57"/>
    </row>
    <row r="586" spans="1:2" x14ac:dyDescent="0.2">
      <c r="A586" s="57"/>
      <c r="B586" s="57"/>
    </row>
    <row r="587" spans="1:2" x14ac:dyDescent="0.2">
      <c r="A587" s="57"/>
      <c r="B587" s="57"/>
    </row>
    <row r="588" spans="1:2" x14ac:dyDescent="0.2">
      <c r="A588" s="57"/>
      <c r="B588" s="57"/>
    </row>
    <row r="589" spans="1:2" x14ac:dyDescent="0.2">
      <c r="A589" s="57"/>
      <c r="B589" s="57"/>
    </row>
    <row r="590" spans="1:2" x14ac:dyDescent="0.2">
      <c r="A590" s="57"/>
      <c r="B590" s="57"/>
    </row>
    <row r="591" spans="1:2" x14ac:dyDescent="0.2">
      <c r="A591" s="57"/>
      <c r="B591" s="57"/>
    </row>
    <row r="592" spans="1:2" x14ac:dyDescent="0.2">
      <c r="A592" s="57"/>
      <c r="B592" s="57"/>
    </row>
    <row r="593" spans="1:2" x14ac:dyDescent="0.2">
      <c r="A593" s="57"/>
      <c r="B593" s="57"/>
    </row>
    <row r="594" spans="1:2" x14ac:dyDescent="0.2">
      <c r="A594" s="57"/>
      <c r="B594" s="57"/>
    </row>
    <row r="595" spans="1:2" x14ac:dyDescent="0.2">
      <c r="A595" s="57"/>
      <c r="B595" s="57"/>
    </row>
    <row r="596" spans="1:2" x14ac:dyDescent="0.2">
      <c r="A596" s="57"/>
      <c r="B596" s="57"/>
    </row>
    <row r="597" spans="1:2" x14ac:dyDescent="0.2">
      <c r="A597" s="57"/>
      <c r="B597" s="57"/>
    </row>
    <row r="598" spans="1:2" x14ac:dyDescent="0.2">
      <c r="A598" s="57"/>
      <c r="B598" s="57"/>
    </row>
    <row r="599" spans="1:2" x14ac:dyDescent="0.2">
      <c r="A599" s="57"/>
      <c r="B599" s="57"/>
    </row>
    <row r="600" spans="1:2" x14ac:dyDescent="0.2">
      <c r="A600" s="57"/>
      <c r="B600" s="57"/>
    </row>
    <row r="601" spans="1:2" x14ac:dyDescent="0.2">
      <c r="A601" s="57"/>
      <c r="B601" s="57"/>
    </row>
    <row r="602" spans="1:2" x14ac:dyDescent="0.2">
      <c r="A602" s="57"/>
      <c r="B602" s="57"/>
    </row>
    <row r="603" spans="1:2" x14ac:dyDescent="0.2">
      <c r="A603" s="57"/>
      <c r="B603" s="57"/>
    </row>
    <row r="604" spans="1:2" x14ac:dyDescent="0.2">
      <c r="A604" s="57"/>
      <c r="B604" s="57"/>
    </row>
    <row r="605" spans="1:2" x14ac:dyDescent="0.2">
      <c r="A605" s="57"/>
      <c r="B605" s="57"/>
    </row>
    <row r="606" spans="1:2" x14ac:dyDescent="0.2">
      <c r="A606" s="57"/>
      <c r="B606" s="57"/>
    </row>
    <row r="607" spans="1:2" x14ac:dyDescent="0.2">
      <c r="A607" s="57"/>
      <c r="B607" s="57"/>
    </row>
    <row r="608" spans="1:2" x14ac:dyDescent="0.2">
      <c r="A608" s="57"/>
      <c r="B608" s="57"/>
    </row>
    <row r="609" spans="1:2" x14ac:dyDescent="0.2">
      <c r="A609" s="57"/>
      <c r="B609" s="57"/>
    </row>
    <row r="610" spans="1:2" x14ac:dyDescent="0.2">
      <c r="A610" s="57"/>
      <c r="B610" s="57"/>
    </row>
    <row r="611" spans="1:2" x14ac:dyDescent="0.2">
      <c r="A611" s="57"/>
      <c r="B611" s="57"/>
    </row>
    <row r="612" spans="1:2" x14ac:dyDescent="0.2">
      <c r="A612" s="57"/>
      <c r="B612" s="57"/>
    </row>
    <row r="613" spans="1:2" x14ac:dyDescent="0.2">
      <c r="A613" s="57"/>
      <c r="B613" s="57"/>
    </row>
    <row r="614" spans="1:2" x14ac:dyDescent="0.2">
      <c r="A614" s="57"/>
      <c r="B614" s="57"/>
    </row>
    <row r="615" spans="1:2" x14ac:dyDescent="0.2">
      <c r="A615" s="57"/>
      <c r="B615" s="57"/>
    </row>
    <row r="616" spans="1:2" x14ac:dyDescent="0.2">
      <c r="A616" s="57"/>
      <c r="B616" s="57"/>
    </row>
    <row r="617" spans="1:2" x14ac:dyDescent="0.2">
      <c r="A617" s="57"/>
      <c r="B617" s="57"/>
    </row>
    <row r="618" spans="1:2" x14ac:dyDescent="0.2">
      <c r="A618" s="57"/>
      <c r="B618" s="57"/>
    </row>
    <row r="619" spans="1:2" x14ac:dyDescent="0.2">
      <c r="A619" s="57"/>
      <c r="B619" s="57"/>
    </row>
    <row r="620" spans="1:2" x14ac:dyDescent="0.2">
      <c r="A620" s="57"/>
      <c r="B620" s="57"/>
    </row>
    <row r="621" spans="1:2" x14ac:dyDescent="0.2">
      <c r="A621" s="57"/>
      <c r="B621" s="57"/>
    </row>
    <row r="622" spans="1:2" x14ac:dyDescent="0.2">
      <c r="A622" s="57"/>
      <c r="B622" s="57"/>
    </row>
    <row r="623" spans="1:2" x14ac:dyDescent="0.2">
      <c r="A623" s="57"/>
      <c r="B623" s="57"/>
    </row>
    <row r="624" spans="1:2" x14ac:dyDescent="0.2">
      <c r="A624" s="57"/>
      <c r="B624" s="57"/>
    </row>
    <row r="625" spans="1:2" x14ac:dyDescent="0.2">
      <c r="A625" s="57"/>
      <c r="B625" s="57"/>
    </row>
    <row r="626" spans="1:2" x14ac:dyDescent="0.2">
      <c r="A626" s="57"/>
      <c r="B626" s="57"/>
    </row>
    <row r="627" spans="1:2" x14ac:dyDescent="0.2">
      <c r="A627" s="57"/>
      <c r="B627" s="57"/>
    </row>
    <row r="628" spans="1:2" x14ac:dyDescent="0.2">
      <c r="A628" s="57"/>
      <c r="B628" s="57"/>
    </row>
    <row r="629" spans="1:2" x14ac:dyDescent="0.2">
      <c r="A629" s="57"/>
      <c r="B629" s="57"/>
    </row>
    <row r="630" spans="1:2" x14ac:dyDescent="0.2">
      <c r="A630" s="57"/>
      <c r="B630" s="57"/>
    </row>
    <row r="631" spans="1:2" x14ac:dyDescent="0.2">
      <c r="A631" s="57"/>
      <c r="B631" s="57"/>
    </row>
    <row r="632" spans="1:2" x14ac:dyDescent="0.2">
      <c r="A632" s="57"/>
      <c r="B632" s="57"/>
    </row>
    <row r="633" spans="1:2" x14ac:dyDescent="0.2">
      <c r="A633" s="57"/>
      <c r="B633" s="57"/>
    </row>
    <row r="634" spans="1:2" x14ac:dyDescent="0.2">
      <c r="A634" s="57"/>
      <c r="B634" s="57"/>
    </row>
    <row r="635" spans="1:2" x14ac:dyDescent="0.2">
      <c r="A635" s="57"/>
      <c r="B635" s="57"/>
    </row>
    <row r="636" spans="1:2" x14ac:dyDescent="0.2">
      <c r="A636" s="57"/>
      <c r="B636" s="57"/>
    </row>
    <row r="637" spans="1:2" x14ac:dyDescent="0.2">
      <c r="A637" s="57"/>
      <c r="B637" s="57"/>
    </row>
    <row r="638" spans="1:2" x14ac:dyDescent="0.2">
      <c r="A638" s="57"/>
      <c r="B638" s="57"/>
    </row>
    <row r="639" spans="1:2" x14ac:dyDescent="0.2">
      <c r="A639" s="57"/>
      <c r="B639" s="57"/>
    </row>
    <row r="640" spans="1:2" x14ac:dyDescent="0.2">
      <c r="A640" s="57"/>
      <c r="B640" s="57"/>
    </row>
    <row r="641" spans="1:2" x14ac:dyDescent="0.2">
      <c r="A641" s="57"/>
      <c r="B641" s="57"/>
    </row>
    <row r="642" spans="1:2" x14ac:dyDescent="0.2">
      <c r="A642" s="57"/>
      <c r="B642" s="57"/>
    </row>
    <row r="643" spans="1:2" x14ac:dyDescent="0.2">
      <c r="A643" s="57"/>
      <c r="B643" s="57"/>
    </row>
    <row r="644" spans="1:2" x14ac:dyDescent="0.2">
      <c r="A644" s="57"/>
      <c r="B644" s="57"/>
    </row>
    <row r="645" spans="1:2" x14ac:dyDescent="0.2">
      <c r="A645" s="57"/>
      <c r="B645" s="57"/>
    </row>
    <row r="646" spans="1:2" x14ac:dyDescent="0.2">
      <c r="A646" s="57"/>
      <c r="B646" s="57"/>
    </row>
    <row r="647" spans="1:2" x14ac:dyDescent="0.2">
      <c r="A647" s="57"/>
      <c r="B647" s="57"/>
    </row>
    <row r="648" spans="1:2" x14ac:dyDescent="0.2">
      <c r="A648" s="57"/>
      <c r="B648" s="57"/>
    </row>
    <row r="649" spans="1:2" x14ac:dyDescent="0.2">
      <c r="A649" s="57"/>
      <c r="B649" s="57"/>
    </row>
    <row r="650" spans="1:2" x14ac:dyDescent="0.2">
      <c r="A650" s="57"/>
      <c r="B650" s="57"/>
    </row>
    <row r="651" spans="1:2" x14ac:dyDescent="0.2">
      <c r="A651" s="57"/>
      <c r="B651" s="57"/>
    </row>
    <row r="652" spans="1:2" x14ac:dyDescent="0.2">
      <c r="A652" s="57"/>
      <c r="B652" s="57"/>
    </row>
    <row r="653" spans="1:2" x14ac:dyDescent="0.2">
      <c r="A653" s="57"/>
      <c r="B653" s="57"/>
    </row>
    <row r="654" spans="1:2" x14ac:dyDescent="0.2">
      <c r="A654" s="57"/>
      <c r="B654" s="57"/>
    </row>
    <row r="655" spans="1:2" x14ac:dyDescent="0.2">
      <c r="A655" s="57"/>
      <c r="B655" s="57"/>
    </row>
    <row r="656" spans="1:2" x14ac:dyDescent="0.2">
      <c r="A656" s="57"/>
      <c r="B656" s="57"/>
    </row>
    <row r="657" spans="1:2" x14ac:dyDescent="0.2">
      <c r="A657" s="57"/>
      <c r="B657" s="57"/>
    </row>
    <row r="658" spans="1:2" x14ac:dyDescent="0.2">
      <c r="A658" s="57"/>
      <c r="B658" s="57"/>
    </row>
    <row r="659" spans="1:2" x14ac:dyDescent="0.2">
      <c r="A659" s="57"/>
      <c r="B659" s="57"/>
    </row>
    <row r="660" spans="1:2" x14ac:dyDescent="0.2">
      <c r="A660" s="57"/>
      <c r="B660" s="57"/>
    </row>
    <row r="661" spans="1:2" x14ac:dyDescent="0.2">
      <c r="A661" s="57"/>
      <c r="B661" s="57"/>
    </row>
    <row r="662" spans="1:2" x14ac:dyDescent="0.2">
      <c r="A662" s="57"/>
      <c r="B662" s="57"/>
    </row>
    <row r="663" spans="1:2" x14ac:dyDescent="0.2">
      <c r="A663" s="57"/>
      <c r="B663" s="57"/>
    </row>
    <row r="664" spans="1:2" x14ac:dyDescent="0.2">
      <c r="A664" s="57"/>
      <c r="B664" s="57"/>
    </row>
    <row r="665" spans="1:2" x14ac:dyDescent="0.2">
      <c r="A665" s="57"/>
      <c r="B665" s="57"/>
    </row>
    <row r="666" spans="1:2" x14ac:dyDescent="0.2">
      <c r="A666" s="57"/>
      <c r="B666" s="57"/>
    </row>
    <row r="667" spans="1:2" x14ac:dyDescent="0.2">
      <c r="A667" s="57"/>
      <c r="B667" s="57"/>
    </row>
    <row r="668" spans="1:2" x14ac:dyDescent="0.2">
      <c r="A668" s="57"/>
      <c r="B668" s="57"/>
    </row>
    <row r="669" spans="1:2" x14ac:dyDescent="0.2">
      <c r="A669" s="57"/>
      <c r="B669" s="57"/>
    </row>
    <row r="670" spans="1:2" x14ac:dyDescent="0.2">
      <c r="A670" s="57"/>
      <c r="B670" s="57"/>
    </row>
    <row r="671" spans="1:2" x14ac:dyDescent="0.2">
      <c r="A671" s="57"/>
      <c r="B671" s="57"/>
    </row>
    <row r="672" spans="1:2" x14ac:dyDescent="0.2">
      <c r="A672" s="57"/>
      <c r="B672" s="57"/>
    </row>
    <row r="673" spans="1:2" x14ac:dyDescent="0.2">
      <c r="A673" s="57"/>
      <c r="B673" s="57"/>
    </row>
    <row r="674" spans="1:2" x14ac:dyDescent="0.2">
      <c r="A674" s="57"/>
      <c r="B674" s="57"/>
    </row>
    <row r="675" spans="1:2" x14ac:dyDescent="0.2">
      <c r="A675" s="57"/>
      <c r="B675" s="57"/>
    </row>
    <row r="676" spans="1:2" x14ac:dyDescent="0.2">
      <c r="A676" s="57"/>
      <c r="B676" s="57"/>
    </row>
    <row r="677" spans="1:2" x14ac:dyDescent="0.2">
      <c r="A677" s="57"/>
      <c r="B677" s="57"/>
    </row>
    <row r="678" spans="1:2" x14ac:dyDescent="0.2">
      <c r="A678" s="57"/>
      <c r="B678" s="57"/>
    </row>
    <row r="679" spans="1:2" x14ac:dyDescent="0.2">
      <c r="A679" s="57"/>
      <c r="B679" s="57"/>
    </row>
    <row r="680" spans="1:2" x14ac:dyDescent="0.2">
      <c r="A680" s="57"/>
      <c r="B680" s="57"/>
    </row>
    <row r="681" spans="1:2" x14ac:dyDescent="0.2">
      <c r="A681" s="57"/>
      <c r="B681" s="57"/>
    </row>
    <row r="682" spans="1:2" x14ac:dyDescent="0.2">
      <c r="A682" s="57"/>
      <c r="B682" s="57"/>
    </row>
    <row r="683" spans="1:2" x14ac:dyDescent="0.2">
      <c r="A683" s="57"/>
      <c r="B683" s="57"/>
    </row>
    <row r="684" spans="1:2" x14ac:dyDescent="0.2">
      <c r="A684" s="57"/>
      <c r="B684" s="57"/>
    </row>
    <row r="685" spans="1:2" x14ac:dyDescent="0.2">
      <c r="A685" s="57"/>
      <c r="B685" s="57"/>
    </row>
    <row r="686" spans="1:2" x14ac:dyDescent="0.2">
      <c r="A686" s="57"/>
      <c r="B686" s="57"/>
    </row>
    <row r="687" spans="1:2" x14ac:dyDescent="0.2">
      <c r="A687" s="57"/>
      <c r="B687" s="57"/>
    </row>
    <row r="688" spans="1:2" x14ac:dyDescent="0.2">
      <c r="A688" s="57"/>
      <c r="B688" s="57"/>
    </row>
    <row r="689" spans="1:2" x14ac:dyDescent="0.2">
      <c r="A689" s="57"/>
      <c r="B689" s="57"/>
    </row>
    <row r="690" spans="1:2" x14ac:dyDescent="0.2">
      <c r="A690" s="57"/>
      <c r="B690" s="57"/>
    </row>
    <row r="691" spans="1:2" x14ac:dyDescent="0.2">
      <c r="A691" s="57"/>
      <c r="B691" s="57"/>
    </row>
    <row r="692" spans="1:2" x14ac:dyDescent="0.2">
      <c r="A692" s="57"/>
      <c r="B692" s="57"/>
    </row>
    <row r="693" spans="1:2" x14ac:dyDescent="0.2">
      <c r="A693" s="57"/>
      <c r="B693" s="57"/>
    </row>
    <row r="694" spans="1:2" x14ac:dyDescent="0.2">
      <c r="A694" s="57"/>
      <c r="B694" s="57"/>
    </row>
    <row r="695" spans="1:2" x14ac:dyDescent="0.2">
      <c r="A695" s="57"/>
      <c r="B695" s="57"/>
    </row>
    <row r="696" spans="1:2" x14ac:dyDescent="0.2">
      <c r="A696" s="57"/>
      <c r="B696" s="57"/>
    </row>
    <row r="697" spans="1:2" x14ac:dyDescent="0.2">
      <c r="A697" s="57"/>
      <c r="B697" s="57"/>
    </row>
    <row r="698" spans="1:2" x14ac:dyDescent="0.2">
      <c r="A698" s="57"/>
      <c r="B698" s="57"/>
    </row>
    <row r="699" spans="1:2" x14ac:dyDescent="0.2">
      <c r="A699" s="57"/>
      <c r="B699" s="57"/>
    </row>
    <row r="700" spans="1:2" x14ac:dyDescent="0.2">
      <c r="A700" s="57"/>
      <c r="B700" s="57"/>
    </row>
    <row r="701" spans="1:2" x14ac:dyDescent="0.2">
      <c r="A701" s="57"/>
      <c r="B701" s="57"/>
    </row>
    <row r="702" spans="1:2" x14ac:dyDescent="0.2">
      <c r="A702" s="57"/>
      <c r="B702" s="57"/>
    </row>
    <row r="703" spans="1:2" x14ac:dyDescent="0.2">
      <c r="A703" s="57"/>
      <c r="B703" s="57"/>
    </row>
    <row r="704" spans="1:2" x14ac:dyDescent="0.2">
      <c r="A704" s="57"/>
      <c r="B704" s="57"/>
    </row>
    <row r="705" spans="1:2" x14ac:dyDescent="0.2">
      <c r="A705" s="57"/>
      <c r="B705" s="57"/>
    </row>
    <row r="706" spans="1:2" x14ac:dyDescent="0.2">
      <c r="A706" s="57"/>
      <c r="B706" s="57"/>
    </row>
    <row r="707" spans="1:2" x14ac:dyDescent="0.2">
      <c r="A707" s="57"/>
      <c r="B707" s="57"/>
    </row>
    <row r="708" spans="1:2" x14ac:dyDescent="0.2">
      <c r="A708" s="57"/>
      <c r="B708" s="57"/>
    </row>
    <row r="709" spans="1:2" x14ac:dyDescent="0.2">
      <c r="A709" s="57"/>
      <c r="B709" s="57"/>
    </row>
    <row r="710" spans="1:2" x14ac:dyDescent="0.2">
      <c r="A710" s="57"/>
      <c r="B710" s="57"/>
    </row>
    <row r="711" spans="1:2" x14ac:dyDescent="0.2">
      <c r="A711" s="57"/>
      <c r="B711" s="57"/>
    </row>
    <row r="712" spans="1:2" x14ac:dyDescent="0.2">
      <c r="A712" s="57"/>
      <c r="B712" s="57"/>
    </row>
    <row r="713" spans="1:2" x14ac:dyDescent="0.2">
      <c r="A713" s="57"/>
      <c r="B713" s="57"/>
    </row>
    <row r="714" spans="1:2" x14ac:dyDescent="0.2">
      <c r="A714" s="57"/>
      <c r="B714" s="57"/>
    </row>
    <row r="715" spans="1:2" x14ac:dyDescent="0.2">
      <c r="A715" s="57"/>
      <c r="B715" s="57"/>
    </row>
    <row r="716" spans="1:2" x14ac:dyDescent="0.2">
      <c r="A716" s="57"/>
      <c r="B716" s="57"/>
    </row>
    <row r="717" spans="1:2" x14ac:dyDescent="0.2">
      <c r="A717" s="57"/>
      <c r="B717" s="57"/>
    </row>
    <row r="718" spans="1:2" x14ac:dyDescent="0.2">
      <c r="A718" s="57"/>
      <c r="B718" s="57"/>
    </row>
    <row r="719" spans="1:2" x14ac:dyDescent="0.2">
      <c r="A719" s="57"/>
      <c r="B719" s="57"/>
    </row>
    <row r="720" spans="1:2" x14ac:dyDescent="0.2">
      <c r="A720" s="57"/>
      <c r="B720" s="57"/>
    </row>
    <row r="721" spans="1:2" x14ac:dyDescent="0.2">
      <c r="A721" s="57"/>
      <c r="B721" s="57"/>
    </row>
    <row r="722" spans="1:2" x14ac:dyDescent="0.2">
      <c r="A722" s="57"/>
      <c r="B722" s="57"/>
    </row>
    <row r="723" spans="1:2" x14ac:dyDescent="0.2">
      <c r="A723" s="57"/>
      <c r="B723" s="57"/>
    </row>
    <row r="724" spans="1:2" x14ac:dyDescent="0.2">
      <c r="A724" s="57"/>
      <c r="B724" s="57"/>
    </row>
    <row r="725" spans="1:2" x14ac:dyDescent="0.2">
      <c r="A725" s="57"/>
      <c r="B725" s="57"/>
    </row>
    <row r="726" spans="1:2" x14ac:dyDescent="0.2">
      <c r="A726" s="57"/>
      <c r="B726" s="57"/>
    </row>
    <row r="727" spans="1:2" x14ac:dyDescent="0.2">
      <c r="A727" s="57"/>
      <c r="B727" s="57"/>
    </row>
    <row r="728" spans="1:2" x14ac:dyDescent="0.2">
      <c r="A728" s="57"/>
      <c r="B728" s="57"/>
    </row>
    <row r="729" spans="1:2" x14ac:dyDescent="0.2">
      <c r="A729" s="57"/>
      <c r="B729" s="57"/>
    </row>
    <row r="730" spans="1:2" x14ac:dyDescent="0.2">
      <c r="A730" s="57"/>
      <c r="B730" s="57"/>
    </row>
    <row r="731" spans="1:2" x14ac:dyDescent="0.2">
      <c r="A731" s="57"/>
      <c r="B731" s="57"/>
    </row>
    <row r="732" spans="1:2" x14ac:dyDescent="0.2">
      <c r="A732" s="57"/>
      <c r="B732" s="57"/>
    </row>
    <row r="733" spans="1:2" x14ac:dyDescent="0.2">
      <c r="A733" s="57"/>
      <c r="B733" s="57"/>
    </row>
    <row r="734" spans="1:2" x14ac:dyDescent="0.2">
      <c r="A734" s="57"/>
      <c r="B734" s="57"/>
    </row>
    <row r="735" spans="1:2" x14ac:dyDescent="0.2">
      <c r="A735" s="57"/>
      <c r="B735" s="57"/>
    </row>
    <row r="736" spans="1:2" x14ac:dyDescent="0.2">
      <c r="A736" s="57"/>
      <c r="B736" s="57"/>
    </row>
    <row r="737" spans="1:2" x14ac:dyDescent="0.2">
      <c r="A737" s="57"/>
      <c r="B737" s="57"/>
    </row>
    <row r="738" spans="1:2" x14ac:dyDescent="0.2">
      <c r="A738" s="57"/>
      <c r="B738" s="57"/>
    </row>
    <row r="739" spans="1:2" x14ac:dyDescent="0.2">
      <c r="A739" s="57"/>
      <c r="B739" s="57"/>
    </row>
    <row r="740" spans="1:2" x14ac:dyDescent="0.2">
      <c r="A740" s="57"/>
      <c r="B740" s="57"/>
    </row>
    <row r="741" spans="1:2" x14ac:dyDescent="0.2">
      <c r="A741" s="57"/>
      <c r="B741" s="57"/>
    </row>
    <row r="742" spans="1:2" x14ac:dyDescent="0.2">
      <c r="A742" s="57"/>
      <c r="B742" s="57"/>
    </row>
    <row r="743" spans="1:2" x14ac:dyDescent="0.2">
      <c r="A743" s="57"/>
      <c r="B743" s="57"/>
    </row>
    <row r="744" spans="1:2" x14ac:dyDescent="0.2">
      <c r="A744" s="57"/>
      <c r="B744" s="57"/>
    </row>
    <row r="745" spans="1:2" x14ac:dyDescent="0.2">
      <c r="A745" s="57"/>
      <c r="B745" s="57"/>
    </row>
    <row r="746" spans="1:2" x14ac:dyDescent="0.2">
      <c r="A746" s="57"/>
      <c r="B746" s="57"/>
    </row>
    <row r="747" spans="1:2" x14ac:dyDescent="0.2">
      <c r="A747" s="57"/>
      <c r="B747" s="57"/>
    </row>
    <row r="748" spans="1:2" x14ac:dyDescent="0.2">
      <c r="A748" s="57"/>
      <c r="B748" s="57"/>
    </row>
    <row r="749" spans="1:2" x14ac:dyDescent="0.2">
      <c r="A749" s="57"/>
      <c r="B749" s="57"/>
    </row>
    <row r="750" spans="1:2" x14ac:dyDescent="0.2">
      <c r="A750" s="57"/>
      <c r="B750" s="57"/>
    </row>
    <row r="751" spans="1:2" x14ac:dyDescent="0.2">
      <c r="A751" s="57"/>
      <c r="B751" s="57"/>
    </row>
    <row r="752" spans="1:2" x14ac:dyDescent="0.2">
      <c r="A752" s="57"/>
      <c r="B752" s="57"/>
    </row>
    <row r="753" spans="1:2" x14ac:dyDescent="0.2">
      <c r="A753" s="57"/>
      <c r="B753" s="57"/>
    </row>
    <row r="754" spans="1:2" x14ac:dyDescent="0.2">
      <c r="A754" s="57"/>
      <c r="B754" s="57"/>
    </row>
    <row r="755" spans="1:2" x14ac:dyDescent="0.2">
      <c r="A755" s="57"/>
      <c r="B755" s="57"/>
    </row>
    <row r="756" spans="1:2" x14ac:dyDescent="0.2">
      <c r="A756" s="57"/>
      <c r="B756" s="57"/>
    </row>
    <row r="757" spans="1:2" x14ac:dyDescent="0.2">
      <c r="A757" s="57"/>
      <c r="B757" s="57"/>
    </row>
    <row r="758" spans="1:2" x14ac:dyDescent="0.2">
      <c r="A758" s="57"/>
      <c r="B758" s="57"/>
    </row>
    <row r="759" spans="1:2" x14ac:dyDescent="0.2">
      <c r="A759" s="57"/>
      <c r="B759" s="57"/>
    </row>
    <row r="760" spans="1:2" x14ac:dyDescent="0.2">
      <c r="A760" s="57"/>
      <c r="B760" s="57"/>
    </row>
    <row r="761" spans="1:2" x14ac:dyDescent="0.2">
      <c r="A761" s="57"/>
      <c r="B761" s="57"/>
    </row>
    <row r="762" spans="1:2" x14ac:dyDescent="0.2">
      <c r="A762" s="57"/>
      <c r="B762" s="57"/>
    </row>
    <row r="763" spans="1:2" x14ac:dyDescent="0.2">
      <c r="A763" s="57"/>
      <c r="B763" s="57"/>
    </row>
    <row r="764" spans="1:2" x14ac:dyDescent="0.2">
      <c r="A764" s="57"/>
      <c r="B764" s="57"/>
    </row>
    <row r="765" spans="1:2" x14ac:dyDescent="0.2">
      <c r="A765" s="57"/>
      <c r="B765" s="57"/>
    </row>
    <row r="766" spans="1:2" x14ac:dyDescent="0.2">
      <c r="A766" s="57"/>
      <c r="B766" s="57"/>
    </row>
    <row r="767" spans="1:2" x14ac:dyDescent="0.2">
      <c r="A767" s="57"/>
      <c r="B767" s="57"/>
    </row>
    <row r="768" spans="1:2" x14ac:dyDescent="0.2">
      <c r="A768" s="57"/>
      <c r="B768" s="57"/>
    </row>
    <row r="769" spans="1:2" x14ac:dyDescent="0.2">
      <c r="A769" s="57"/>
      <c r="B769" s="57"/>
    </row>
    <row r="770" spans="1:2" x14ac:dyDescent="0.2">
      <c r="A770" s="57"/>
      <c r="B770" s="57"/>
    </row>
    <row r="771" spans="1:2" x14ac:dyDescent="0.2">
      <c r="A771" s="57"/>
      <c r="B771" s="57"/>
    </row>
    <row r="772" spans="1:2" x14ac:dyDescent="0.2">
      <c r="A772" s="57"/>
      <c r="B772" s="57"/>
    </row>
    <row r="773" spans="1:2" x14ac:dyDescent="0.2">
      <c r="A773" s="57"/>
      <c r="B773" s="57"/>
    </row>
    <row r="774" spans="1:2" x14ac:dyDescent="0.2">
      <c r="A774" s="57"/>
      <c r="B774" s="57"/>
    </row>
    <row r="775" spans="1:2" x14ac:dyDescent="0.2">
      <c r="A775" s="57"/>
      <c r="B775" s="57"/>
    </row>
    <row r="776" spans="1:2" x14ac:dyDescent="0.2">
      <c r="A776" s="57"/>
      <c r="B776" s="57"/>
    </row>
    <row r="777" spans="1:2" x14ac:dyDescent="0.2">
      <c r="A777" s="57"/>
      <c r="B777" s="57"/>
    </row>
    <row r="778" spans="1:2" x14ac:dyDescent="0.2">
      <c r="A778" s="57"/>
      <c r="B778" s="57"/>
    </row>
    <row r="779" spans="1:2" x14ac:dyDescent="0.2">
      <c r="A779" s="57"/>
      <c r="B779" s="57"/>
    </row>
    <row r="780" spans="1:2" x14ac:dyDescent="0.2">
      <c r="A780" s="57"/>
      <c r="B780" s="57"/>
    </row>
    <row r="781" spans="1:2" x14ac:dyDescent="0.2">
      <c r="A781" s="57"/>
      <c r="B781" s="57"/>
    </row>
    <row r="782" spans="1:2" x14ac:dyDescent="0.2">
      <c r="A782" s="57"/>
      <c r="B782" s="57"/>
    </row>
    <row r="783" spans="1:2" x14ac:dyDescent="0.2">
      <c r="A783" s="57"/>
      <c r="B783" s="57"/>
    </row>
    <row r="784" spans="1:2" x14ac:dyDescent="0.2">
      <c r="A784" s="57"/>
      <c r="B784" s="57"/>
    </row>
    <row r="785" spans="1:2" x14ac:dyDescent="0.2">
      <c r="A785" s="57"/>
      <c r="B785" s="57"/>
    </row>
    <row r="786" spans="1:2" x14ac:dyDescent="0.2">
      <c r="A786" s="57"/>
      <c r="B786" s="57"/>
    </row>
    <row r="787" spans="1:2" x14ac:dyDescent="0.2">
      <c r="A787" s="57"/>
      <c r="B787" s="57"/>
    </row>
    <row r="788" spans="1:2" x14ac:dyDescent="0.2">
      <c r="A788" s="57"/>
      <c r="B788" s="57"/>
    </row>
    <row r="789" spans="1:2" x14ac:dyDescent="0.2">
      <c r="A789" s="57"/>
      <c r="B789" s="57"/>
    </row>
    <row r="790" spans="1:2" x14ac:dyDescent="0.2">
      <c r="A790" s="57"/>
      <c r="B790" s="57"/>
    </row>
    <row r="791" spans="1:2" x14ac:dyDescent="0.2">
      <c r="A791" s="57"/>
      <c r="B791" s="57"/>
    </row>
    <row r="792" spans="1:2" x14ac:dyDescent="0.2">
      <c r="A792" s="57"/>
      <c r="B792" s="57"/>
    </row>
    <row r="793" spans="1:2" x14ac:dyDescent="0.2">
      <c r="A793" s="57"/>
      <c r="B793" s="57"/>
    </row>
    <row r="794" spans="1:2" x14ac:dyDescent="0.2">
      <c r="A794" s="57"/>
      <c r="B794" s="57"/>
    </row>
    <row r="795" spans="1:2" x14ac:dyDescent="0.2">
      <c r="A795" s="57"/>
      <c r="B795" s="57"/>
    </row>
    <row r="796" spans="1:2" x14ac:dyDescent="0.2">
      <c r="A796" s="57"/>
      <c r="B796" s="57"/>
    </row>
    <row r="797" spans="1:2" x14ac:dyDescent="0.2">
      <c r="A797" s="57"/>
      <c r="B797" s="57"/>
    </row>
    <row r="798" spans="1:2" x14ac:dyDescent="0.2">
      <c r="A798" s="57"/>
      <c r="B798" s="57"/>
    </row>
    <row r="799" spans="1:2" x14ac:dyDescent="0.2">
      <c r="A799" s="57"/>
      <c r="B799" s="57"/>
    </row>
    <row r="800" spans="1:2" x14ac:dyDescent="0.2">
      <c r="A800" s="57"/>
      <c r="B800" s="57"/>
    </row>
    <row r="801" spans="1:2" x14ac:dyDescent="0.2">
      <c r="A801" s="57"/>
      <c r="B801" s="57"/>
    </row>
    <row r="802" spans="1:2" x14ac:dyDescent="0.2">
      <c r="A802" s="57"/>
      <c r="B802" s="57"/>
    </row>
    <row r="803" spans="1:2" x14ac:dyDescent="0.2">
      <c r="A803" s="57"/>
      <c r="B803" s="57"/>
    </row>
    <row r="804" spans="1:2" x14ac:dyDescent="0.2">
      <c r="A804" s="57"/>
      <c r="B804" s="57"/>
    </row>
    <row r="805" spans="1:2" x14ac:dyDescent="0.2">
      <c r="A805" s="57"/>
      <c r="B805" s="57"/>
    </row>
    <row r="806" spans="1:2" x14ac:dyDescent="0.2">
      <c r="A806" s="57"/>
      <c r="B806" s="57"/>
    </row>
    <row r="807" spans="1:2" x14ac:dyDescent="0.2">
      <c r="A807" s="57"/>
      <c r="B807" s="57"/>
    </row>
    <row r="808" spans="1:2" x14ac:dyDescent="0.2">
      <c r="A808" s="57"/>
      <c r="B808" s="57"/>
    </row>
    <row r="809" spans="1:2" x14ac:dyDescent="0.2">
      <c r="A809" s="57"/>
      <c r="B809" s="57"/>
    </row>
    <row r="810" spans="1:2" x14ac:dyDescent="0.2">
      <c r="A810" s="57"/>
      <c r="B810" s="57"/>
    </row>
    <row r="811" spans="1:2" x14ac:dyDescent="0.2">
      <c r="A811" s="57"/>
      <c r="B811" s="57"/>
    </row>
    <row r="812" spans="1:2" x14ac:dyDescent="0.2">
      <c r="A812" s="57"/>
      <c r="B812" s="57"/>
    </row>
    <row r="813" spans="1:2" x14ac:dyDescent="0.2">
      <c r="A813" s="57"/>
      <c r="B813" s="57"/>
    </row>
    <row r="814" spans="1:2" x14ac:dyDescent="0.2">
      <c r="A814" s="57"/>
      <c r="B814" s="57"/>
    </row>
    <row r="815" spans="1:2" x14ac:dyDescent="0.2">
      <c r="A815" s="57"/>
      <c r="B815" s="57"/>
    </row>
    <row r="816" spans="1:2" x14ac:dyDescent="0.2">
      <c r="A816" s="57"/>
      <c r="B816" s="57"/>
    </row>
    <row r="817" spans="1:2" x14ac:dyDescent="0.2">
      <c r="A817" s="57"/>
      <c r="B817" s="57"/>
    </row>
    <row r="818" spans="1:2" x14ac:dyDescent="0.2">
      <c r="A818" s="57"/>
      <c r="B818" s="57"/>
    </row>
    <row r="819" spans="1:2" x14ac:dyDescent="0.2">
      <c r="A819" s="57"/>
      <c r="B819" s="57"/>
    </row>
    <row r="820" spans="1:2" x14ac:dyDescent="0.2">
      <c r="A820" s="57"/>
      <c r="B820" s="57"/>
    </row>
    <row r="821" spans="1:2" x14ac:dyDescent="0.2">
      <c r="A821" s="57"/>
      <c r="B821" s="57"/>
    </row>
    <row r="822" spans="1:2" x14ac:dyDescent="0.2">
      <c r="A822" s="57"/>
      <c r="B822" s="57"/>
    </row>
    <row r="823" spans="1:2" x14ac:dyDescent="0.2">
      <c r="A823" s="57"/>
      <c r="B823" s="57"/>
    </row>
    <row r="824" spans="1:2" x14ac:dyDescent="0.2">
      <c r="A824" s="57"/>
      <c r="B824" s="57"/>
    </row>
    <row r="825" spans="1:2" x14ac:dyDescent="0.2">
      <c r="A825" s="57"/>
      <c r="B825" s="57"/>
    </row>
    <row r="826" spans="1:2" x14ac:dyDescent="0.2">
      <c r="A826" s="57"/>
      <c r="B826" s="57"/>
    </row>
    <row r="827" spans="1:2" x14ac:dyDescent="0.2">
      <c r="A827" s="57"/>
      <c r="B827" s="57"/>
    </row>
    <row r="828" spans="1:2" x14ac:dyDescent="0.2">
      <c r="A828" s="57"/>
      <c r="B828" s="57"/>
    </row>
    <row r="829" spans="1:2" x14ac:dyDescent="0.2">
      <c r="A829" s="57"/>
      <c r="B829" s="57"/>
    </row>
    <row r="830" spans="1:2" x14ac:dyDescent="0.2">
      <c r="A830" s="57"/>
      <c r="B830" s="57"/>
    </row>
    <row r="831" spans="1:2" x14ac:dyDescent="0.2">
      <c r="A831" s="57"/>
      <c r="B831" s="57"/>
    </row>
    <row r="832" spans="1:2" x14ac:dyDescent="0.2">
      <c r="A832" s="57"/>
      <c r="B832" s="57"/>
    </row>
    <row r="833" spans="1:2" x14ac:dyDescent="0.2">
      <c r="A833" s="57"/>
      <c r="B833" s="57"/>
    </row>
    <row r="834" spans="1:2" x14ac:dyDescent="0.2">
      <c r="A834" s="57"/>
      <c r="B834" s="57"/>
    </row>
    <row r="835" spans="1:2" x14ac:dyDescent="0.2">
      <c r="A835" s="57"/>
      <c r="B835" s="57"/>
    </row>
    <row r="836" spans="1:2" x14ac:dyDescent="0.2">
      <c r="A836" s="57"/>
      <c r="B836" s="57"/>
    </row>
    <row r="837" spans="1:2" x14ac:dyDescent="0.2">
      <c r="A837" s="57"/>
      <c r="B837" s="57"/>
    </row>
    <row r="838" spans="1:2" x14ac:dyDescent="0.2">
      <c r="A838" s="57"/>
      <c r="B838" s="57"/>
    </row>
    <row r="839" spans="1:2" x14ac:dyDescent="0.2">
      <c r="A839" s="57"/>
      <c r="B839" s="57"/>
    </row>
    <row r="840" spans="1:2" x14ac:dyDescent="0.2">
      <c r="A840" s="57"/>
      <c r="B840" s="57"/>
    </row>
    <row r="841" spans="1:2" x14ac:dyDescent="0.2">
      <c r="A841" s="57"/>
      <c r="B841" s="57"/>
    </row>
    <row r="842" spans="1:2" x14ac:dyDescent="0.2">
      <c r="A842" s="57"/>
      <c r="B842" s="57"/>
    </row>
    <row r="843" spans="1:2" x14ac:dyDescent="0.2">
      <c r="A843" s="57"/>
      <c r="B843" s="57"/>
    </row>
    <row r="844" spans="1:2" x14ac:dyDescent="0.2">
      <c r="A844" s="57"/>
      <c r="B844" s="57"/>
    </row>
    <row r="845" spans="1:2" x14ac:dyDescent="0.2">
      <c r="A845" s="57"/>
      <c r="B845" s="57"/>
    </row>
    <row r="846" spans="1:2" x14ac:dyDescent="0.2">
      <c r="A846" s="57"/>
      <c r="B846" s="57"/>
    </row>
    <row r="847" spans="1:2" x14ac:dyDescent="0.2">
      <c r="A847" s="57"/>
      <c r="B847" s="57"/>
    </row>
    <row r="848" spans="1:2" x14ac:dyDescent="0.2">
      <c r="A848" s="57"/>
      <c r="B848" s="57"/>
    </row>
    <row r="849" spans="1:2" x14ac:dyDescent="0.2">
      <c r="A849" s="57"/>
      <c r="B849" s="57"/>
    </row>
    <row r="850" spans="1:2" x14ac:dyDescent="0.2">
      <c r="A850" s="57"/>
      <c r="B850" s="57"/>
    </row>
    <row r="851" spans="1:2" x14ac:dyDescent="0.2">
      <c r="A851" s="57"/>
      <c r="B851" s="57"/>
    </row>
    <row r="852" spans="1:2" x14ac:dyDescent="0.2">
      <c r="A852" s="57"/>
      <c r="B852" s="57"/>
    </row>
    <row r="853" spans="1:2" x14ac:dyDescent="0.2">
      <c r="A853" s="57"/>
      <c r="B853" s="57"/>
    </row>
    <row r="854" spans="1:2" x14ac:dyDescent="0.2">
      <c r="A854" s="57"/>
      <c r="B854" s="57"/>
    </row>
    <row r="855" spans="1:2" x14ac:dyDescent="0.2">
      <c r="A855" s="57"/>
      <c r="B855" s="57"/>
    </row>
    <row r="856" spans="1:2" x14ac:dyDescent="0.2">
      <c r="A856" s="57"/>
      <c r="B856" s="57"/>
    </row>
    <row r="857" spans="1:2" x14ac:dyDescent="0.2">
      <c r="A857" s="57"/>
      <c r="B857" s="57"/>
    </row>
    <row r="858" spans="1:2" x14ac:dyDescent="0.2">
      <c r="A858" s="57"/>
      <c r="B858" s="57"/>
    </row>
    <row r="859" spans="1:2" x14ac:dyDescent="0.2">
      <c r="A859" s="57"/>
      <c r="B859" s="57"/>
    </row>
    <row r="860" spans="1:2" x14ac:dyDescent="0.2">
      <c r="A860" s="57"/>
      <c r="B860" s="57"/>
    </row>
    <row r="861" spans="1:2" x14ac:dyDescent="0.2">
      <c r="A861" s="57"/>
      <c r="B861" s="57"/>
    </row>
    <row r="862" spans="1:2" x14ac:dyDescent="0.2">
      <c r="A862" s="57"/>
      <c r="B862" s="57"/>
    </row>
    <row r="863" spans="1:2" x14ac:dyDescent="0.2">
      <c r="A863" s="57"/>
      <c r="B863" s="57"/>
    </row>
    <row r="864" spans="1:2" x14ac:dyDescent="0.2">
      <c r="A864" s="57"/>
      <c r="B864" s="57"/>
    </row>
    <row r="865" spans="1:2" x14ac:dyDescent="0.2">
      <c r="A865" s="57"/>
      <c r="B865" s="57"/>
    </row>
    <row r="866" spans="1:2" x14ac:dyDescent="0.2">
      <c r="A866" s="57"/>
      <c r="B866" s="57"/>
    </row>
    <row r="867" spans="1:2" x14ac:dyDescent="0.2">
      <c r="A867" s="57"/>
      <c r="B867" s="57"/>
    </row>
    <row r="868" spans="1:2" x14ac:dyDescent="0.2">
      <c r="A868" s="57"/>
      <c r="B868" s="57"/>
    </row>
    <row r="869" spans="1:2" x14ac:dyDescent="0.2">
      <c r="A869" s="57"/>
      <c r="B869" s="57"/>
    </row>
    <row r="870" spans="1:2" x14ac:dyDescent="0.2">
      <c r="A870" s="57"/>
      <c r="B870" s="57"/>
    </row>
    <row r="871" spans="1:2" x14ac:dyDescent="0.2">
      <c r="A871" s="57"/>
      <c r="B871" s="57"/>
    </row>
    <row r="872" spans="1:2" x14ac:dyDescent="0.2">
      <c r="A872" s="57"/>
      <c r="B872" s="57"/>
    </row>
    <row r="873" spans="1:2" x14ac:dyDescent="0.2">
      <c r="A873" s="57"/>
      <c r="B873" s="57"/>
    </row>
    <row r="874" spans="1:2" x14ac:dyDescent="0.2">
      <c r="A874" s="57"/>
      <c r="B874" s="57"/>
    </row>
    <row r="875" spans="1:2" x14ac:dyDescent="0.2">
      <c r="A875" s="57"/>
      <c r="B875" s="57"/>
    </row>
    <row r="876" spans="1:2" x14ac:dyDescent="0.2">
      <c r="A876" s="57"/>
      <c r="B876" s="57"/>
    </row>
    <row r="877" spans="1:2" x14ac:dyDescent="0.2">
      <c r="A877" s="57"/>
      <c r="B877" s="57"/>
    </row>
    <row r="878" spans="1:2" x14ac:dyDescent="0.2">
      <c r="A878" s="57"/>
      <c r="B878" s="57"/>
    </row>
    <row r="879" spans="1:2" x14ac:dyDescent="0.2">
      <c r="A879" s="57"/>
      <c r="B879" s="57"/>
    </row>
    <row r="880" spans="1:2" x14ac:dyDescent="0.2">
      <c r="A880" s="57"/>
      <c r="B880" s="57"/>
    </row>
    <row r="881" spans="1:2" x14ac:dyDescent="0.2">
      <c r="A881" s="57"/>
      <c r="B881" s="57"/>
    </row>
    <row r="882" spans="1:2" x14ac:dyDescent="0.2">
      <c r="A882" s="57"/>
      <c r="B882" s="57"/>
    </row>
    <row r="883" spans="1:2" x14ac:dyDescent="0.2">
      <c r="A883" s="57"/>
      <c r="B883" s="57"/>
    </row>
    <row r="884" spans="1:2" x14ac:dyDescent="0.2">
      <c r="A884" s="57"/>
      <c r="B884" s="57"/>
    </row>
    <row r="885" spans="1:2" x14ac:dyDescent="0.2">
      <c r="A885" s="57"/>
      <c r="B885" s="57"/>
    </row>
    <row r="886" spans="1:2" x14ac:dyDescent="0.2">
      <c r="A886" s="57"/>
      <c r="B886" s="57"/>
    </row>
    <row r="887" spans="1:2" x14ac:dyDescent="0.2">
      <c r="A887" s="57"/>
      <c r="B887" s="57"/>
    </row>
    <row r="888" spans="1:2" x14ac:dyDescent="0.2">
      <c r="A888" s="57"/>
      <c r="B888" s="57"/>
    </row>
    <row r="889" spans="1:2" x14ac:dyDescent="0.2">
      <c r="A889" s="57"/>
      <c r="B889" s="57"/>
    </row>
    <row r="890" spans="1:2" x14ac:dyDescent="0.2">
      <c r="A890" s="57"/>
      <c r="B890" s="57"/>
    </row>
    <row r="891" spans="1:2" x14ac:dyDescent="0.2">
      <c r="A891" s="57"/>
      <c r="B891" s="57"/>
    </row>
    <row r="892" spans="1:2" x14ac:dyDescent="0.2">
      <c r="A892" s="57"/>
      <c r="B892" s="57"/>
    </row>
    <row r="893" spans="1:2" x14ac:dyDescent="0.2">
      <c r="A893" s="57"/>
      <c r="B893" s="57"/>
    </row>
    <row r="894" spans="1:2" x14ac:dyDescent="0.2">
      <c r="A894" s="57"/>
      <c r="B894" s="57"/>
    </row>
    <row r="895" spans="1:2" x14ac:dyDescent="0.2">
      <c r="A895" s="57"/>
      <c r="B895" s="57"/>
    </row>
    <row r="896" spans="1:2" x14ac:dyDescent="0.2">
      <c r="A896" s="57"/>
      <c r="B896" s="57"/>
    </row>
    <row r="897" spans="1:2" x14ac:dyDescent="0.2">
      <c r="A897" s="57"/>
      <c r="B897" s="57"/>
    </row>
    <row r="898" spans="1:2" x14ac:dyDescent="0.2">
      <c r="A898" s="57"/>
      <c r="B898" s="57"/>
    </row>
    <row r="899" spans="1:2" x14ac:dyDescent="0.2">
      <c r="A899" s="57"/>
      <c r="B899" s="57"/>
    </row>
    <row r="900" spans="1:2" x14ac:dyDescent="0.2">
      <c r="A900" s="57"/>
      <c r="B900" s="57"/>
    </row>
    <row r="901" spans="1:2" x14ac:dyDescent="0.2">
      <c r="A901" s="57"/>
      <c r="B901" s="57"/>
    </row>
    <row r="902" spans="1:2" x14ac:dyDescent="0.2">
      <c r="A902" s="57"/>
      <c r="B902" s="57"/>
    </row>
    <row r="903" spans="1:2" x14ac:dyDescent="0.2">
      <c r="A903" s="57"/>
      <c r="B903" s="57"/>
    </row>
    <row r="904" spans="1:2" x14ac:dyDescent="0.2">
      <c r="A904" s="57"/>
      <c r="B904" s="57"/>
    </row>
    <row r="905" spans="1:2" x14ac:dyDescent="0.2">
      <c r="A905" s="57"/>
      <c r="B905" s="57"/>
    </row>
    <row r="906" spans="1:2" x14ac:dyDescent="0.2">
      <c r="A906" s="57"/>
      <c r="B906" s="57"/>
    </row>
    <row r="907" spans="1:2" x14ac:dyDescent="0.2">
      <c r="A907" s="57"/>
      <c r="B907" s="57"/>
    </row>
    <row r="908" spans="1:2" x14ac:dyDescent="0.2">
      <c r="A908" s="57"/>
      <c r="B908" s="57"/>
    </row>
    <row r="909" spans="1:2" x14ac:dyDescent="0.2">
      <c r="A909" s="57"/>
      <c r="B909" s="57"/>
    </row>
    <row r="910" spans="1:2" x14ac:dyDescent="0.2">
      <c r="A910" s="57"/>
      <c r="B910" s="57"/>
    </row>
    <row r="911" spans="1:2" x14ac:dyDescent="0.2">
      <c r="A911" s="57"/>
      <c r="B911" s="57"/>
    </row>
    <row r="912" spans="1:2" x14ac:dyDescent="0.2">
      <c r="A912" s="57"/>
      <c r="B912" s="57"/>
    </row>
    <row r="913" spans="1:2" x14ac:dyDescent="0.2">
      <c r="A913" s="57"/>
      <c r="B913" s="57"/>
    </row>
    <row r="914" spans="1:2" x14ac:dyDescent="0.2">
      <c r="A914" s="57"/>
      <c r="B914" s="57"/>
    </row>
    <row r="915" spans="1:2" x14ac:dyDescent="0.2">
      <c r="A915" s="57"/>
      <c r="B915" s="57"/>
    </row>
    <row r="916" spans="1:2" x14ac:dyDescent="0.2">
      <c r="A916" s="57"/>
      <c r="B916" s="57"/>
    </row>
    <row r="917" spans="1:2" x14ac:dyDescent="0.2">
      <c r="A917" s="57"/>
      <c r="B917" s="57"/>
    </row>
    <row r="918" spans="1:2" x14ac:dyDescent="0.2">
      <c r="A918" s="57"/>
      <c r="B918" s="57"/>
    </row>
    <row r="919" spans="1:2" x14ac:dyDescent="0.2">
      <c r="A919" s="57"/>
      <c r="B919" s="57"/>
    </row>
    <row r="920" spans="1:2" x14ac:dyDescent="0.2">
      <c r="A920" s="57"/>
      <c r="B920" s="57"/>
    </row>
    <row r="921" spans="1:2" x14ac:dyDescent="0.2">
      <c r="A921" s="57"/>
      <c r="B921" s="57"/>
    </row>
    <row r="922" spans="1:2" x14ac:dyDescent="0.2">
      <c r="A922" s="57"/>
      <c r="B922" s="57"/>
    </row>
    <row r="923" spans="1:2" x14ac:dyDescent="0.2">
      <c r="A923" s="57"/>
      <c r="B923" s="57"/>
    </row>
    <row r="924" spans="1:2" x14ac:dyDescent="0.2">
      <c r="A924" s="57"/>
      <c r="B924" s="57"/>
    </row>
    <row r="925" spans="1:2" x14ac:dyDescent="0.2">
      <c r="A925" s="57"/>
      <c r="B925" s="57"/>
    </row>
    <row r="926" spans="1:2" x14ac:dyDescent="0.2">
      <c r="A926" s="57"/>
      <c r="B926" s="57"/>
    </row>
    <row r="927" spans="1:2" x14ac:dyDescent="0.2">
      <c r="A927" s="57"/>
      <c r="B927" s="57"/>
    </row>
    <row r="928" spans="1:2" x14ac:dyDescent="0.2">
      <c r="A928" s="57"/>
      <c r="B928" s="57"/>
    </row>
    <row r="929" spans="1:2" x14ac:dyDescent="0.2">
      <c r="A929" s="57"/>
      <c r="B929" s="57"/>
    </row>
    <row r="930" spans="1:2" x14ac:dyDescent="0.2">
      <c r="A930" s="57"/>
      <c r="B930" s="57"/>
    </row>
    <row r="931" spans="1:2" x14ac:dyDescent="0.2">
      <c r="A931" s="57"/>
      <c r="B931" s="57"/>
    </row>
    <row r="932" spans="1:2" x14ac:dyDescent="0.2">
      <c r="A932" s="57"/>
      <c r="B932" s="57"/>
    </row>
    <row r="933" spans="1:2" x14ac:dyDescent="0.2">
      <c r="A933" s="57"/>
      <c r="B933" s="57"/>
    </row>
    <row r="934" spans="1:2" x14ac:dyDescent="0.2">
      <c r="A934" s="57"/>
      <c r="B934" s="57"/>
    </row>
    <row r="935" spans="1:2" x14ac:dyDescent="0.2">
      <c r="A935" s="57"/>
      <c r="B935" s="57"/>
    </row>
    <row r="936" spans="1:2" x14ac:dyDescent="0.2">
      <c r="A936" s="57"/>
      <c r="B936" s="57"/>
    </row>
    <row r="937" spans="1:2" x14ac:dyDescent="0.2">
      <c r="A937" s="57"/>
      <c r="B937" s="57"/>
    </row>
    <row r="938" spans="1:2" x14ac:dyDescent="0.2">
      <c r="A938" s="57"/>
      <c r="B938" s="57"/>
    </row>
    <row r="939" spans="1:2" x14ac:dyDescent="0.2">
      <c r="A939" s="57"/>
      <c r="B939" s="57"/>
    </row>
    <row r="940" spans="1:2" x14ac:dyDescent="0.2">
      <c r="A940" s="57"/>
      <c r="B940" s="57"/>
    </row>
    <row r="941" spans="1:2" x14ac:dyDescent="0.2">
      <c r="A941" s="57"/>
      <c r="B941" s="57"/>
    </row>
    <row r="942" spans="1:2" x14ac:dyDescent="0.2">
      <c r="A942" s="57"/>
      <c r="B942" s="57"/>
    </row>
    <row r="943" spans="1:2" x14ac:dyDescent="0.2">
      <c r="A943" s="57"/>
      <c r="B943" s="57"/>
    </row>
    <row r="944" spans="1:2" x14ac:dyDescent="0.2">
      <c r="A944" s="57"/>
      <c r="B944" s="57"/>
    </row>
    <row r="945" spans="1:2" x14ac:dyDescent="0.2">
      <c r="A945" s="57"/>
      <c r="B945" s="57"/>
    </row>
    <row r="946" spans="1:2" x14ac:dyDescent="0.2">
      <c r="A946" s="57"/>
      <c r="B946" s="57"/>
    </row>
    <row r="947" spans="1:2" x14ac:dyDescent="0.2">
      <c r="A947" s="57"/>
      <c r="B947" s="57"/>
    </row>
    <row r="948" spans="1:2" x14ac:dyDescent="0.2">
      <c r="A948" s="57"/>
      <c r="B948" s="57"/>
    </row>
    <row r="949" spans="1:2" x14ac:dyDescent="0.2">
      <c r="A949" s="57"/>
      <c r="B949" s="57"/>
    </row>
    <row r="950" spans="1:2" x14ac:dyDescent="0.2">
      <c r="A950" s="57"/>
      <c r="B950" s="57"/>
    </row>
    <row r="951" spans="1:2" x14ac:dyDescent="0.2">
      <c r="A951" s="57"/>
      <c r="B951" s="57"/>
    </row>
    <row r="952" spans="1:2" x14ac:dyDescent="0.2">
      <c r="A952" s="57"/>
      <c r="B952" s="57"/>
    </row>
    <row r="953" spans="1:2" x14ac:dyDescent="0.2">
      <c r="A953" s="57"/>
      <c r="B953" s="57"/>
    </row>
    <row r="954" spans="1:2" x14ac:dyDescent="0.2">
      <c r="A954" s="57"/>
      <c r="B954" s="57"/>
    </row>
    <row r="955" spans="1:2" x14ac:dyDescent="0.2">
      <c r="A955" s="57"/>
      <c r="B955" s="57"/>
    </row>
    <row r="956" spans="1:2" x14ac:dyDescent="0.2">
      <c r="A956" s="57"/>
      <c r="B956" s="57"/>
    </row>
    <row r="957" spans="1:2" x14ac:dyDescent="0.2">
      <c r="A957" s="57"/>
      <c r="B957" s="57"/>
    </row>
    <row r="958" spans="1:2" x14ac:dyDescent="0.2">
      <c r="A958" s="57"/>
      <c r="B958" s="57"/>
    </row>
    <row r="959" spans="1:2" x14ac:dyDescent="0.2">
      <c r="A959" s="57"/>
      <c r="B959" s="57"/>
    </row>
    <row r="960" spans="1:2" x14ac:dyDescent="0.2">
      <c r="A960" s="57"/>
      <c r="B960" s="57"/>
    </row>
    <row r="961" spans="1:2" x14ac:dyDescent="0.2">
      <c r="A961" s="57"/>
      <c r="B961" s="57"/>
    </row>
    <row r="962" spans="1:2" x14ac:dyDescent="0.2">
      <c r="A962" s="57"/>
      <c r="B962" s="57"/>
    </row>
    <row r="963" spans="1:2" x14ac:dyDescent="0.2">
      <c r="A963" s="57"/>
      <c r="B963" s="57"/>
    </row>
    <row r="964" spans="1:2" x14ac:dyDescent="0.2">
      <c r="A964" s="57"/>
      <c r="B964" s="57"/>
    </row>
    <row r="965" spans="1:2" x14ac:dyDescent="0.2">
      <c r="A965" s="57"/>
      <c r="B965" s="57"/>
    </row>
    <row r="966" spans="1:2" x14ac:dyDescent="0.2">
      <c r="A966" s="57"/>
      <c r="B966" s="57"/>
    </row>
    <row r="967" spans="1:2" x14ac:dyDescent="0.2">
      <c r="A967" s="57"/>
      <c r="B967" s="57"/>
    </row>
    <row r="968" spans="1:2" x14ac:dyDescent="0.2">
      <c r="A968" s="57"/>
      <c r="B968" s="57"/>
    </row>
    <row r="969" spans="1:2" x14ac:dyDescent="0.2">
      <c r="A969" s="57"/>
      <c r="B969" s="57"/>
    </row>
    <row r="970" spans="1:2" x14ac:dyDescent="0.2">
      <c r="A970" s="57"/>
      <c r="B970" s="57"/>
    </row>
    <row r="971" spans="1:2" x14ac:dyDescent="0.2">
      <c r="A971" s="57"/>
      <c r="B971" s="57"/>
    </row>
    <row r="972" spans="1:2" x14ac:dyDescent="0.2">
      <c r="A972" s="57"/>
      <c r="B972" s="57"/>
    </row>
    <row r="973" spans="1:2" x14ac:dyDescent="0.2">
      <c r="A973" s="57"/>
      <c r="B973" s="57"/>
    </row>
    <row r="974" spans="1:2" x14ac:dyDescent="0.2">
      <c r="A974" s="57"/>
      <c r="B974" s="57"/>
    </row>
    <row r="975" spans="1:2" x14ac:dyDescent="0.2">
      <c r="A975" s="57"/>
      <c r="B975" s="57"/>
    </row>
    <row r="976" spans="1:2" x14ac:dyDescent="0.2">
      <c r="A976" s="57"/>
      <c r="B976" s="57"/>
    </row>
    <row r="977" spans="1:2" x14ac:dyDescent="0.2">
      <c r="A977" s="57"/>
      <c r="B977" s="57"/>
    </row>
    <row r="978" spans="1:2" x14ac:dyDescent="0.2">
      <c r="A978" s="57"/>
      <c r="B978" s="57"/>
    </row>
    <row r="979" spans="1:2" x14ac:dyDescent="0.2">
      <c r="A979" s="57"/>
      <c r="B979" s="57"/>
    </row>
    <row r="980" spans="1:2" x14ac:dyDescent="0.2">
      <c r="A980" s="57"/>
      <c r="B980" s="57"/>
    </row>
    <row r="981" spans="1:2" x14ac:dyDescent="0.2">
      <c r="A981" s="57"/>
      <c r="B981" s="57"/>
    </row>
    <row r="982" spans="1:2" x14ac:dyDescent="0.2">
      <c r="A982" s="57"/>
      <c r="B982" s="57"/>
    </row>
    <row r="983" spans="1:2" x14ac:dyDescent="0.2">
      <c r="A983" s="57"/>
      <c r="B983" s="57"/>
    </row>
    <row r="984" spans="1:2" x14ac:dyDescent="0.2">
      <c r="A984" s="57"/>
      <c r="B984" s="57"/>
    </row>
    <row r="985" spans="1:2" x14ac:dyDescent="0.2">
      <c r="A985" s="57"/>
      <c r="B985" s="57"/>
    </row>
    <row r="986" spans="1:2" x14ac:dyDescent="0.2">
      <c r="A986" s="57"/>
      <c r="B986" s="57"/>
    </row>
    <row r="987" spans="1:2" x14ac:dyDescent="0.2">
      <c r="A987" s="57"/>
      <c r="B987" s="57"/>
    </row>
    <row r="988" spans="1:2" x14ac:dyDescent="0.2">
      <c r="A988" s="57"/>
      <c r="B988" s="57"/>
    </row>
    <row r="989" spans="1:2" x14ac:dyDescent="0.2">
      <c r="A989" s="57"/>
      <c r="B989" s="57"/>
    </row>
    <row r="990" spans="1:2" x14ac:dyDescent="0.2">
      <c r="A990" s="57"/>
      <c r="B990" s="57"/>
    </row>
    <row r="991" spans="1:2" x14ac:dyDescent="0.2">
      <c r="A991" s="57"/>
      <c r="B991" s="57"/>
    </row>
    <row r="992" spans="1:2" x14ac:dyDescent="0.2">
      <c r="A992" s="57"/>
      <c r="B992" s="57"/>
    </row>
    <row r="993" spans="1:2" x14ac:dyDescent="0.2">
      <c r="A993" s="57"/>
      <c r="B993" s="57"/>
    </row>
    <row r="994" spans="1:2" x14ac:dyDescent="0.2">
      <c r="A994" s="57"/>
      <c r="B994" s="57"/>
    </row>
    <row r="995" spans="1:2" x14ac:dyDescent="0.2">
      <c r="A995" s="57"/>
      <c r="B995" s="57"/>
    </row>
    <row r="996" spans="1:2" x14ac:dyDescent="0.2">
      <c r="A996" s="57"/>
      <c r="B996" s="57"/>
    </row>
    <row r="997" spans="1:2" x14ac:dyDescent="0.2">
      <c r="A997" s="57"/>
      <c r="B997" s="57"/>
    </row>
    <row r="998" spans="1:2" x14ac:dyDescent="0.2">
      <c r="A998" s="57"/>
      <c r="B998" s="57"/>
    </row>
    <row r="999" spans="1:2" x14ac:dyDescent="0.2">
      <c r="A999" s="57"/>
      <c r="B999" s="57"/>
    </row>
    <row r="1000" spans="1:2" x14ac:dyDescent="0.2">
      <c r="A1000" s="57"/>
      <c r="B1000" s="57"/>
    </row>
    <row r="1001" spans="1:2" x14ac:dyDescent="0.2">
      <c r="A1001" s="57"/>
      <c r="B1001" s="57"/>
    </row>
    <row r="1002" spans="1:2" x14ac:dyDescent="0.2">
      <c r="A1002" s="57"/>
      <c r="B1002" s="57"/>
    </row>
    <row r="1003" spans="1:2" x14ac:dyDescent="0.2">
      <c r="A1003" s="57"/>
      <c r="B1003" s="57"/>
    </row>
    <row r="1004" spans="1:2" x14ac:dyDescent="0.2">
      <c r="A1004" s="57"/>
      <c r="B1004" s="57"/>
    </row>
    <row r="1005" spans="1:2" x14ac:dyDescent="0.2">
      <c r="A1005" s="57"/>
      <c r="B1005" s="57"/>
    </row>
    <row r="1006" spans="1:2" x14ac:dyDescent="0.2">
      <c r="A1006" s="57"/>
      <c r="B1006" s="57"/>
    </row>
    <row r="1007" spans="1:2" x14ac:dyDescent="0.2">
      <c r="A1007" s="57"/>
      <c r="B1007" s="57"/>
    </row>
    <row r="1008" spans="1:2" x14ac:dyDescent="0.2">
      <c r="A1008" s="57"/>
      <c r="B1008" s="57"/>
    </row>
    <row r="1009" spans="1:2" x14ac:dyDescent="0.2">
      <c r="A1009" s="57"/>
      <c r="B1009" s="57"/>
    </row>
    <row r="1010" spans="1:2" x14ac:dyDescent="0.2">
      <c r="A1010" s="57"/>
      <c r="B1010" s="57"/>
    </row>
    <row r="1011" spans="1:2" x14ac:dyDescent="0.2">
      <c r="A1011" s="57"/>
      <c r="B1011" s="57"/>
    </row>
    <row r="1012" spans="1:2" x14ac:dyDescent="0.2">
      <c r="A1012" s="57"/>
      <c r="B1012" s="57"/>
    </row>
    <row r="1013" spans="1:2" x14ac:dyDescent="0.2">
      <c r="A1013" s="57"/>
      <c r="B1013" s="57"/>
    </row>
    <row r="1014" spans="1:2" x14ac:dyDescent="0.2">
      <c r="A1014" s="57"/>
      <c r="B1014" s="57"/>
    </row>
    <row r="1015" spans="1:2" x14ac:dyDescent="0.2">
      <c r="A1015" s="57"/>
      <c r="B1015" s="57"/>
    </row>
    <row r="1016" spans="1:2" x14ac:dyDescent="0.2">
      <c r="A1016" s="57"/>
      <c r="B1016" s="57"/>
    </row>
    <row r="1017" spans="1:2" x14ac:dyDescent="0.2">
      <c r="A1017" s="57"/>
      <c r="B1017" s="57"/>
    </row>
    <row r="1018" spans="1:2" x14ac:dyDescent="0.2">
      <c r="A1018" s="57"/>
      <c r="B1018" s="57"/>
    </row>
    <row r="1019" spans="1:2" x14ac:dyDescent="0.2">
      <c r="A1019" s="57"/>
      <c r="B1019" s="57"/>
    </row>
    <row r="1020" spans="1:2" x14ac:dyDescent="0.2">
      <c r="A1020" s="57"/>
      <c r="B1020" s="57"/>
    </row>
  </sheetData>
  <mergeCells count="1">
    <mergeCell ref="U6:V6"/>
  </mergeCells>
  <conditionalFormatting sqref="H11:J40">
    <cfRule type="expression" dxfId="0" priority="1">
      <formula>ISERROR($H11)</formula>
    </cfRule>
  </conditionalFormatting>
  <dataValidations count="1">
    <dataValidation type="list" allowBlank="1" showInputMessage="1" showErrorMessage="1" sqref="L14">
      <formula1>$L$5:$L$11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"/>
  <sheetViews>
    <sheetView workbookViewId="0">
      <selection activeCell="F8" sqref="F8"/>
    </sheetView>
  </sheetViews>
  <sheetFormatPr defaultRowHeight="12.75" x14ac:dyDescent="0.2"/>
  <cols>
    <col min="1" max="1" width="2.5703125" customWidth="1"/>
    <col min="4" max="4" width="2.28515625" customWidth="1"/>
    <col min="5" max="5" width="13.140625" customWidth="1"/>
  </cols>
  <sheetData>
    <row r="3" spans="2:8" x14ac:dyDescent="0.2">
      <c r="B3" s="76" t="s">
        <v>105</v>
      </c>
      <c r="C3" s="76"/>
      <c r="E3" s="75" t="s">
        <v>110</v>
      </c>
      <c r="F3" s="75"/>
      <c r="G3" s="75"/>
      <c r="H3" s="75"/>
    </row>
    <row r="4" spans="2:8" s="79" customFormat="1" ht="26.25" customHeight="1" x14ac:dyDescent="0.2">
      <c r="B4" s="78" t="s">
        <v>113</v>
      </c>
      <c r="C4" s="78" t="s">
        <v>106</v>
      </c>
      <c r="E4" s="78" t="s">
        <v>104</v>
      </c>
      <c r="F4" s="78" t="s">
        <v>113</v>
      </c>
      <c r="G4" s="78" t="s">
        <v>106</v>
      </c>
      <c r="H4" s="78" t="s">
        <v>111</v>
      </c>
    </row>
    <row r="5" spans="2:8" x14ac:dyDescent="0.2">
      <c r="B5" s="69">
        <f>'DJIA Index'!H8</f>
        <v>-7.746997415023632E-4</v>
      </c>
      <c r="C5" s="69">
        <f>'DJIA Index'!H7</f>
        <v>1.8917328256506247E-2</v>
      </c>
      <c r="E5" s="73" t="s">
        <v>40</v>
      </c>
      <c r="F5" s="33">
        <f>OAT!G8/100</f>
        <v>8.4861537772452818E-3</v>
      </c>
      <c r="G5" s="33">
        <f>OAT!G7/100</f>
        <v>2.3004006345819124E-3</v>
      </c>
      <c r="H5" s="35"/>
    </row>
    <row r="6" spans="2:8" x14ac:dyDescent="0.2">
      <c r="E6" s="73" t="s">
        <v>107</v>
      </c>
      <c r="F6" s="72">
        <f>TOTAL!H8</f>
        <v>-1.5789642567486013E-3</v>
      </c>
      <c r="G6" s="72">
        <f>TOTAL!H7</f>
        <v>3.9355492750163125E-2</v>
      </c>
      <c r="H6" s="35"/>
    </row>
    <row r="7" spans="2:8" x14ac:dyDescent="0.2">
      <c r="E7" s="74" t="s">
        <v>112</v>
      </c>
      <c r="F7" s="72">
        <f>ACCENTURE!H8</f>
        <v>4.7307432982497807E-3</v>
      </c>
      <c r="G7" s="72">
        <f>ACCENTURE!H7</f>
        <v>2.8626785312529039E-2</v>
      </c>
      <c r="H7" s="35"/>
    </row>
    <row r="8" spans="2:8" x14ac:dyDescent="0.2">
      <c r="E8" s="73" t="s">
        <v>108</v>
      </c>
      <c r="F8" s="72">
        <f>APPLE!H8</f>
        <v>1.1157136292397195E-3</v>
      </c>
      <c r="G8" s="72">
        <f>APPLE!H7</f>
        <v>3.6207110054456787E-2</v>
      </c>
      <c r="H8" s="35"/>
    </row>
    <row r="9" spans="2:8" x14ac:dyDescent="0.2">
      <c r="E9" s="73" t="s">
        <v>109</v>
      </c>
      <c r="F9" s="72">
        <f>CGI!H8</f>
        <v>3.6651418810500578E-3</v>
      </c>
      <c r="G9" s="72">
        <f>CGI!H7</f>
        <v>3.2916765905044429E-2</v>
      </c>
      <c r="H9" s="35"/>
    </row>
  </sheetData>
  <mergeCells count="2">
    <mergeCell ref="B3:C3"/>
    <mergeCell ref="E3:H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" sqref="P1"/>
    </sheetView>
  </sheetViews>
  <sheetFormatPr defaultRowHeight="12.75" x14ac:dyDescent="0.2"/>
  <cols>
    <col min="1" max="1" width="3.140625" customWidth="1"/>
    <col min="2" max="2" width="12.7109375" style="5" bestFit="1" customWidth="1"/>
    <col min="3" max="3" width="11.85546875" bestFit="1" customWidth="1"/>
    <col min="4" max="4" width="10" bestFit="1" customWidth="1"/>
    <col min="5" max="5" width="11.85546875" bestFit="1" customWidth="1"/>
    <col min="6" max="6" width="10" bestFit="1" customWidth="1"/>
    <col min="7" max="7" width="7.85546875" bestFit="1" customWidth="1"/>
    <col min="8" max="8" width="7.28515625" bestFit="1" customWidth="1"/>
    <col min="9" max="9" width="4" customWidth="1"/>
    <col min="10" max="10" width="9.42578125" bestFit="1" customWidth="1"/>
    <col min="11" max="12" width="6.28515625" bestFit="1" customWidth="1"/>
    <col min="13" max="13" width="3.42578125" customWidth="1"/>
    <col min="14" max="15" width="5.7109375" bestFit="1" customWidth="1"/>
    <col min="16" max="17" width="7.28515625" bestFit="1" customWidth="1"/>
    <col min="18" max="18" width="7.85546875" bestFit="1" customWidth="1"/>
  </cols>
  <sheetData>
    <row r="1" spans="2:18" x14ac:dyDescent="0.2">
      <c r="C1" s="2" t="s">
        <v>127</v>
      </c>
      <c r="E1" s="2" t="s">
        <v>126</v>
      </c>
    </row>
    <row r="2" spans="2:18" x14ac:dyDescent="0.2">
      <c r="B2" s="83" t="s">
        <v>39</v>
      </c>
      <c r="C2" s="83" t="s">
        <v>128</v>
      </c>
      <c r="D2" s="83" t="s">
        <v>123</v>
      </c>
      <c r="E2" s="83" t="s">
        <v>125</v>
      </c>
      <c r="F2" s="83" t="s">
        <v>124</v>
      </c>
      <c r="G2" s="83" t="s">
        <v>118</v>
      </c>
      <c r="H2" s="83" t="s">
        <v>119</v>
      </c>
      <c r="J2" s="5"/>
      <c r="K2" s="77" t="s">
        <v>118</v>
      </c>
      <c r="L2" s="77" t="s">
        <v>119</v>
      </c>
      <c r="N2" s="77" t="s">
        <v>114</v>
      </c>
      <c r="O2" s="77" t="s">
        <v>115</v>
      </c>
      <c r="P2" s="77" t="s">
        <v>116</v>
      </c>
      <c r="Q2" s="77" t="s">
        <v>117</v>
      </c>
      <c r="R2">
        <v>-1</v>
      </c>
    </row>
    <row r="3" spans="2:18" x14ac:dyDescent="0.2">
      <c r="B3" s="89">
        <v>41901</v>
      </c>
      <c r="C3" s="80">
        <v>47.52</v>
      </c>
      <c r="D3" s="80"/>
      <c r="E3" s="80">
        <v>100.959999</v>
      </c>
      <c r="F3" s="80"/>
      <c r="J3" s="77" t="s">
        <v>120</v>
      </c>
      <c r="K3" s="69">
        <f>AVERAGE(tblPtf2[r1])</f>
        <v>3.3655781971502837E-3</v>
      </c>
      <c r="L3" s="69">
        <f>AVERAGE(tblPtf2[r2])</f>
        <v>3.4538349876129196E-3</v>
      </c>
      <c r="N3" s="85">
        <v>0</v>
      </c>
      <c r="O3" s="85">
        <f>1-N3</f>
        <v>1</v>
      </c>
      <c r="P3" s="86">
        <f>N3*$K$3+O3*$L$3</f>
        <v>3.4538349876129196E-3</v>
      </c>
      <c r="Q3" s="86">
        <f>((N3*$K$4)^2)+((O3*$L$4)^2)+2*N3*O3*$K$5*$K$4*$L$4</f>
        <v>1.2504577305807833E-3</v>
      </c>
      <c r="R3" s="92">
        <f t="shared" ref="R3:R23" si="0">((N3*$K$4)^2)+((O3*$L$4)^2)+2*N3*O3*$R$2*$K$4*$L$4</f>
        <v>1.2504577305807833E-3</v>
      </c>
    </row>
    <row r="4" spans="2:18" x14ac:dyDescent="0.2">
      <c r="B4" s="89">
        <v>41904</v>
      </c>
      <c r="C4" s="80">
        <v>46.41</v>
      </c>
      <c r="D4" s="80"/>
      <c r="E4" s="80">
        <v>100.75</v>
      </c>
      <c r="F4" s="80"/>
      <c r="G4" s="81">
        <f>(tblPtf2[[#This Row],[Asset 1]]-C3+tblPtf2[[#This Row],[Div 1]])/C3</f>
        <v>-2.3358585858585995E-2</v>
      </c>
      <c r="H4" s="81">
        <f>(tblPtf2[[#This Row],[Asset 2]]-E3+tblPtf2[[#This Row],[Div 2]])/E3</f>
        <v>-2.0800218114106388E-3</v>
      </c>
      <c r="J4" s="77" t="s">
        <v>41</v>
      </c>
      <c r="K4" s="71">
        <f>_xlfn.STDEV.P(tblPtf2[r1])</f>
        <v>3.9441367227301627E-2</v>
      </c>
      <c r="L4" s="71">
        <f>_xlfn.STDEV.P(tblPtf2[r2])</f>
        <v>3.5361811754784048E-2</v>
      </c>
      <c r="N4" s="85">
        <v>0.05</v>
      </c>
      <c r="O4" s="85">
        <f t="shared" ref="O4:O23" si="1">1-N4</f>
        <v>0.95</v>
      </c>
      <c r="P4" s="86">
        <f>N4*$K$3+O4*$L$3</f>
        <v>3.4494221480897876E-3</v>
      </c>
      <c r="Q4" s="86">
        <f t="shared" ref="Q4:Q23" si="2">((N4*$K$4)^2)+((O4*$L$4)^2)+2*N4*O4*$K$5*$K$4*$L$4</f>
        <v>1.1971104238808438E-3</v>
      </c>
      <c r="R4" s="92">
        <f t="shared" si="0"/>
        <v>9.9992892616295489E-4</v>
      </c>
    </row>
    <row r="5" spans="2:18" x14ac:dyDescent="0.2">
      <c r="B5" s="89">
        <v>41911</v>
      </c>
      <c r="C5" s="80">
        <v>46.09</v>
      </c>
      <c r="D5" s="80"/>
      <c r="E5" s="80">
        <v>99.620002999999997</v>
      </c>
      <c r="F5" s="80"/>
      <c r="G5" s="81">
        <f>(tblPtf2[[#This Row],[Asset 1]]-C4+tblPtf2[[#This Row],[Div 1]])/C4</f>
        <v>-6.8950657185949836E-3</v>
      </c>
      <c r="H5" s="81">
        <f>(tblPtf2[[#This Row],[Asset 2]]-E4+tblPtf2[[#This Row],[Div 2]])/E4</f>
        <v>-1.121585111662534E-2</v>
      </c>
      <c r="J5" s="77" t="s">
        <v>122</v>
      </c>
      <c r="K5" s="87">
        <f>CORREL(tblPtf2[r1],tblPtf2[r2])</f>
        <v>0.48818213456559584</v>
      </c>
      <c r="L5" s="88"/>
      <c r="N5" s="85">
        <v>0.1</v>
      </c>
      <c r="O5" s="85">
        <f t="shared" si="1"/>
        <v>0.9</v>
      </c>
      <c r="P5" s="86">
        <f>N5*$K$3+O5*$L$3</f>
        <v>3.4450093085666563E-3</v>
      </c>
      <c r="Q5" s="86">
        <f t="shared" si="2"/>
        <v>1.1509847479818352E-3</v>
      </c>
      <c r="R5" s="92">
        <f t="shared" si="0"/>
        <v>7.7737769967425635E-4</v>
      </c>
    </row>
    <row r="6" spans="2:18" x14ac:dyDescent="0.2">
      <c r="B6" s="89">
        <v>41918</v>
      </c>
      <c r="C6" s="80">
        <v>44.029998999999997</v>
      </c>
      <c r="D6" s="80"/>
      <c r="E6" s="80">
        <v>100.730003</v>
      </c>
      <c r="F6" s="80"/>
      <c r="G6" s="81">
        <f>(tblPtf2[[#This Row],[Asset 1]]-C5+tblPtf2[[#This Row],[Div 1]])/C5</f>
        <v>-4.4695183336949593E-2</v>
      </c>
      <c r="H6" s="81">
        <f>(tblPtf2[[#This Row],[Asset 2]]-E5+tblPtf2[[#This Row],[Div 2]])/E5</f>
        <v>1.1142340559857236E-2</v>
      </c>
      <c r="J6" s="77" t="s">
        <v>121</v>
      </c>
      <c r="K6" s="84">
        <f>_xlfn.COVARIANCE.P(tblPtf2[r1],tblPtf2[r2])</f>
        <v>6.8087650957673299E-4</v>
      </c>
      <c r="L6" s="84"/>
      <c r="N6" s="85">
        <v>0.15</v>
      </c>
      <c r="O6" s="85">
        <f t="shared" si="1"/>
        <v>0.85</v>
      </c>
      <c r="P6" s="86">
        <f>N6*$K$3+O6*$L$3</f>
        <v>3.4405964690435238E-3</v>
      </c>
      <c r="Q6" s="86">
        <f t="shared" si="2"/>
        <v>1.1120807028837574E-3</v>
      </c>
      <c r="R6" s="92">
        <f t="shared" si="0"/>
        <v>5.8280405111468727E-4</v>
      </c>
    </row>
    <row r="7" spans="2:18" x14ac:dyDescent="0.2">
      <c r="B7" s="89">
        <v>41925</v>
      </c>
      <c r="C7" s="80">
        <v>43.630001</v>
      </c>
      <c r="D7" s="80"/>
      <c r="E7" s="80">
        <v>97.669998000000007</v>
      </c>
      <c r="F7" s="80"/>
      <c r="G7" s="81">
        <f>(tblPtf2[[#This Row],[Asset 1]]-C6+tblPtf2[[#This Row],[Div 1]])/C6</f>
        <v>-9.084669749822083E-3</v>
      </c>
      <c r="H7" s="81">
        <f>(tblPtf2[[#This Row],[Asset 2]]-E6+tblPtf2[[#This Row],[Div 2]])/E6</f>
        <v>-3.0378287589249747E-2</v>
      </c>
      <c r="N7" s="85">
        <v>0.2</v>
      </c>
      <c r="O7" s="85">
        <f t="shared" si="1"/>
        <v>0.8</v>
      </c>
      <c r="P7" s="86">
        <f>N7*$K$3+O7*$L$3</f>
        <v>3.4361836295203926E-3</v>
      </c>
      <c r="Q7" s="86">
        <f t="shared" si="2"/>
        <v>1.0803982885866105E-3</v>
      </c>
      <c r="R7" s="92">
        <f t="shared" si="0"/>
        <v>4.1620798048424808E-4</v>
      </c>
    </row>
    <row r="8" spans="2:18" x14ac:dyDescent="0.2">
      <c r="B8" s="89">
        <v>41932</v>
      </c>
      <c r="C8" s="80">
        <v>46.130001</v>
      </c>
      <c r="D8" s="80"/>
      <c r="E8" s="80">
        <v>105.220001</v>
      </c>
      <c r="F8" s="80"/>
      <c r="G8" s="81">
        <f>(tblPtf2[[#This Row],[Asset 1]]-C7+tblPtf2[[#This Row],[Div 1]])/C7</f>
        <v>5.7300021606692148E-2</v>
      </c>
      <c r="H8" s="81">
        <f>(tblPtf2[[#This Row],[Asset 2]]-E7+tblPtf2[[#This Row],[Div 2]])/E7</f>
        <v>7.7301148301446562E-2</v>
      </c>
      <c r="K8" s="67"/>
      <c r="N8" s="85">
        <v>0.25</v>
      </c>
      <c r="O8" s="85">
        <f t="shared" si="1"/>
        <v>0.75</v>
      </c>
      <c r="P8" s="86">
        <f>N8*$K$3+O8*$L$3</f>
        <v>3.4317707899972605E-3</v>
      </c>
      <c r="Q8" s="86">
        <f t="shared" si="2"/>
        <v>1.0559375050903945E-3</v>
      </c>
      <c r="R8" s="92">
        <f t="shared" si="0"/>
        <v>2.7758948778293868E-4</v>
      </c>
    </row>
    <row r="9" spans="2:18" x14ac:dyDescent="0.2">
      <c r="B9" s="89">
        <v>41939</v>
      </c>
      <c r="C9" s="80">
        <v>46.950001</v>
      </c>
      <c r="D9" s="80"/>
      <c r="E9" s="80">
        <v>108</v>
      </c>
      <c r="F9" s="80"/>
      <c r="G9" s="81">
        <f>(tblPtf2[[#This Row],[Asset 1]]-C8+tblPtf2[[#This Row],[Div 1]])/C8</f>
        <v>1.7775850470933229E-2</v>
      </c>
      <c r="H9" s="81">
        <f>(tblPtf2[[#This Row],[Asset 2]]-E8+tblPtf2[[#This Row],[Div 2]])/E8</f>
        <v>2.6420822786344621E-2</v>
      </c>
      <c r="N9" s="85">
        <v>0.3</v>
      </c>
      <c r="O9" s="85">
        <f t="shared" si="1"/>
        <v>0.7</v>
      </c>
      <c r="P9" s="86">
        <f>N9*$K$3+O9*$L$3</f>
        <v>3.4273579504741289E-3</v>
      </c>
      <c r="Q9" s="86">
        <f t="shared" si="2"/>
        <v>1.0386983523951092E-3</v>
      </c>
      <c r="R9" s="92">
        <f t="shared" si="0"/>
        <v>1.6694857301075884E-4</v>
      </c>
    </row>
    <row r="10" spans="2:18" x14ac:dyDescent="0.2">
      <c r="B10" s="89">
        <v>41946</v>
      </c>
      <c r="C10" s="80">
        <v>48.68</v>
      </c>
      <c r="D10" s="80"/>
      <c r="E10" s="80">
        <v>109.010002</v>
      </c>
      <c r="F10" s="80"/>
      <c r="G10" s="81">
        <f>(tblPtf2[[#This Row],[Asset 1]]-C9+tblPtf2[[#This Row],[Div 1]])/C9</f>
        <v>3.6847688246055617E-2</v>
      </c>
      <c r="H10" s="81">
        <f>(tblPtf2[[#This Row],[Asset 2]]-E9+tblPtf2[[#This Row],[Div 2]])/E9</f>
        <v>9.3518703703703715E-3</v>
      </c>
      <c r="N10" s="85">
        <v>0.35</v>
      </c>
      <c r="O10" s="85">
        <f t="shared" si="1"/>
        <v>0.65</v>
      </c>
      <c r="P10" s="86">
        <f>N10*$K$3+O10*$L$3</f>
        <v>3.4229451109509972E-3</v>
      </c>
      <c r="Q10" s="86">
        <f t="shared" si="2"/>
        <v>1.0286808305007551E-3</v>
      </c>
      <c r="R10" s="92">
        <f t="shared" si="0"/>
        <v>8.4285236167708786E-5</v>
      </c>
    </row>
    <row r="11" spans="2:18" x14ac:dyDescent="0.2">
      <c r="B11" s="89">
        <v>41953</v>
      </c>
      <c r="C11" s="80">
        <v>49.580002</v>
      </c>
      <c r="D11" s="80"/>
      <c r="E11" s="80">
        <v>114.18</v>
      </c>
      <c r="F11" s="80">
        <v>0.47</v>
      </c>
      <c r="G11" s="81">
        <f>(tblPtf2[[#This Row],[Asset 1]]-C10+tblPtf2[[#This Row],[Div 1]])/C10</f>
        <v>1.8488126540673801E-2</v>
      </c>
      <c r="H11" s="81">
        <f>(tblPtf2[[#This Row],[Asset 2]]-E10+tblPtf2[[#This Row],[Div 2]])/E10</f>
        <v>5.1738353330183465E-2</v>
      </c>
      <c r="N11" s="85">
        <v>0.4</v>
      </c>
      <c r="O11" s="85">
        <f t="shared" si="1"/>
        <v>0.6</v>
      </c>
      <c r="P11" s="86">
        <f>N11*$K$3+O11*$L$3</f>
        <v>3.4185322714278652E-3</v>
      </c>
      <c r="Q11" s="86">
        <f t="shared" si="2"/>
        <v>1.025884939407332E-3</v>
      </c>
      <c r="R11" s="92">
        <f t="shared" si="0"/>
        <v>2.9599477253788625E-5</v>
      </c>
    </row>
    <row r="12" spans="2:18" x14ac:dyDescent="0.2">
      <c r="B12" s="89">
        <v>41960</v>
      </c>
      <c r="C12" s="80">
        <v>47.98</v>
      </c>
      <c r="D12" s="80">
        <v>0.31</v>
      </c>
      <c r="E12" s="80">
        <v>116.470001</v>
      </c>
      <c r="F12" s="80"/>
      <c r="G12" s="81">
        <f>(tblPtf2[[#This Row],[Asset 1]]-C11+tblPtf2[[#This Row],[Div 1]])/C11</f>
        <v>-2.6018595158588405E-2</v>
      </c>
      <c r="H12" s="81">
        <f>(tblPtf2[[#This Row],[Asset 2]]-E11+tblPtf2[[#This Row],[Div 2]])/E11</f>
        <v>2.0056060606060511E-2</v>
      </c>
      <c r="N12" s="85">
        <v>0.45</v>
      </c>
      <c r="O12" s="85">
        <f t="shared" si="1"/>
        <v>0.55000000000000004</v>
      </c>
      <c r="P12" s="86">
        <f>N12*$K$3+O12*$L$3</f>
        <v>3.4141194319047335E-3</v>
      </c>
      <c r="Q12" s="86">
        <f t="shared" si="2"/>
        <v>1.0303106791148394E-3</v>
      </c>
      <c r="R12" s="92">
        <f t="shared" si="0"/>
        <v>2.891296268997816E-6</v>
      </c>
    </row>
    <row r="13" spans="2:18" x14ac:dyDescent="0.2">
      <c r="B13" s="89">
        <v>41967</v>
      </c>
      <c r="C13" s="80">
        <v>47.810001</v>
      </c>
      <c r="D13" s="80"/>
      <c r="E13" s="80">
        <v>118.93</v>
      </c>
      <c r="F13" s="80"/>
      <c r="G13" s="81">
        <f>(tblPtf2[[#This Row],[Asset 1]]-C12+tblPtf2[[#This Row],[Div 1]])/C12</f>
        <v>-3.5431221342225329E-3</v>
      </c>
      <c r="H13" s="81">
        <f>(tblPtf2[[#This Row],[Asset 2]]-E12+tblPtf2[[#This Row],[Div 2]])/E12</f>
        <v>2.112131002729201E-2</v>
      </c>
      <c r="N13" s="85">
        <v>0.5</v>
      </c>
      <c r="O13" s="85">
        <f t="shared" si="1"/>
        <v>0.5</v>
      </c>
      <c r="P13" s="86">
        <f>N13*$K$3+O13*$L$3</f>
        <v>3.4097065923816014E-3</v>
      </c>
      <c r="Q13" s="86">
        <f t="shared" si="2"/>
        <v>1.0419580496232781E-3</v>
      </c>
      <c r="R13" s="92">
        <f t="shared" si="0"/>
        <v>4.1606932133370078E-6</v>
      </c>
    </row>
    <row r="14" spans="2:18" x14ac:dyDescent="0.2">
      <c r="B14" s="89">
        <v>41974</v>
      </c>
      <c r="C14" s="80">
        <v>48.419998</v>
      </c>
      <c r="D14" s="80"/>
      <c r="E14" s="80">
        <v>115</v>
      </c>
      <c r="F14" s="80"/>
      <c r="G14" s="81">
        <f>(tblPtf2[[#This Row],[Asset 1]]-C13+tblPtf2[[#This Row],[Div 1]])/C13</f>
        <v>1.2758774048132731E-2</v>
      </c>
      <c r="H14" s="81">
        <f>(tblPtf2[[#This Row],[Asset 2]]-E13+tblPtf2[[#This Row],[Div 2]])/E13</f>
        <v>-3.304464811233504E-2</v>
      </c>
      <c r="N14" s="85">
        <v>0.55000000000000004</v>
      </c>
      <c r="O14" s="85">
        <f t="shared" si="1"/>
        <v>0.44999999999999996</v>
      </c>
      <c r="P14" s="86">
        <f>N14*$K$3+O14*$L$3</f>
        <v>3.4052937528584702E-3</v>
      </c>
      <c r="Q14" s="86">
        <f t="shared" si="2"/>
        <v>1.0608270509326475E-3</v>
      </c>
      <c r="R14" s="92">
        <f t="shared" si="0"/>
        <v>3.3407668086805984E-5</v>
      </c>
    </row>
    <row r="15" spans="2:18" x14ac:dyDescent="0.2">
      <c r="B15" s="89">
        <v>41981</v>
      </c>
      <c r="C15" s="80">
        <v>46.950001</v>
      </c>
      <c r="D15" s="80"/>
      <c r="E15" s="80">
        <v>109.730003</v>
      </c>
      <c r="F15" s="80"/>
      <c r="G15" s="81">
        <f>(tblPtf2[[#This Row],[Asset 1]]-C14+tblPtf2[[#This Row],[Div 1]])/C14</f>
        <v>-3.0359294934295521E-2</v>
      </c>
      <c r="H15" s="81">
        <f>(tblPtf2[[#This Row],[Asset 2]]-E14+tblPtf2[[#This Row],[Div 2]])/E14</f>
        <v>-4.5826060869565248E-2</v>
      </c>
      <c r="N15" s="85">
        <v>0.6</v>
      </c>
      <c r="O15" s="85">
        <f t="shared" si="1"/>
        <v>0.4</v>
      </c>
      <c r="P15" s="86">
        <f>N15*$K$3+O15*$L$3</f>
        <v>3.4008809133353381E-3</v>
      </c>
      <c r="Q15" s="86">
        <f t="shared" si="2"/>
        <v>1.0869176830429479E-3</v>
      </c>
      <c r="R15" s="92">
        <f t="shared" si="0"/>
        <v>9.0632220889404419E-5</v>
      </c>
    </row>
    <row r="16" spans="2:18" x14ac:dyDescent="0.2">
      <c r="B16" s="89">
        <v>41988</v>
      </c>
      <c r="C16" s="80">
        <v>47.66</v>
      </c>
      <c r="D16" s="80"/>
      <c r="E16" s="80">
        <v>111.779999</v>
      </c>
      <c r="F16" s="80"/>
      <c r="G16" s="81">
        <f>(tblPtf2[[#This Row],[Asset 1]]-C15+tblPtf2[[#This Row],[Div 1]])/C15</f>
        <v>1.5122449092173529E-2</v>
      </c>
      <c r="H16" s="81">
        <f>(tblPtf2[[#This Row],[Asset 2]]-E15+tblPtf2[[#This Row],[Div 2]])/E15</f>
        <v>1.8682183030652132E-2</v>
      </c>
      <c r="N16" s="85">
        <v>0.65</v>
      </c>
      <c r="O16" s="85">
        <f t="shared" si="1"/>
        <v>0.35</v>
      </c>
      <c r="P16" s="86">
        <f>N16*$K$3+O16*$L$3</f>
        <v>3.3964680738122061E-3</v>
      </c>
      <c r="Q16" s="86">
        <f t="shared" si="2"/>
        <v>1.1202299459541791E-3</v>
      </c>
      <c r="R16" s="92">
        <f t="shared" si="0"/>
        <v>1.7583435162113275E-4</v>
      </c>
    </row>
    <row r="17" spans="2:18" x14ac:dyDescent="0.2">
      <c r="B17" s="89">
        <v>41995</v>
      </c>
      <c r="C17" s="80">
        <v>47.880001</v>
      </c>
      <c r="D17" s="80"/>
      <c r="E17" s="80">
        <v>113.989998</v>
      </c>
      <c r="F17" s="80"/>
      <c r="G17" s="81">
        <f>(tblPtf2[[#This Row],[Asset 1]]-C16+tblPtf2[[#This Row],[Div 1]])/C16</f>
        <v>4.6160511959715371E-3</v>
      </c>
      <c r="H17" s="81">
        <f>(tblPtf2[[#This Row],[Asset 2]]-E16+tblPtf2[[#This Row],[Div 2]])/E16</f>
        <v>1.977096993890648E-2</v>
      </c>
      <c r="N17" s="85">
        <v>0.7</v>
      </c>
      <c r="O17" s="85">
        <f t="shared" si="1"/>
        <v>0.30000000000000004</v>
      </c>
      <c r="P17" s="86">
        <f>N17*$K$3+O17*$L$3</f>
        <v>3.3920552342890744E-3</v>
      </c>
      <c r="Q17" s="86">
        <f t="shared" si="2"/>
        <v>1.160763839666341E-3</v>
      </c>
      <c r="R17" s="92">
        <f t="shared" si="0"/>
        <v>2.8901406028199043E-4</v>
      </c>
    </row>
    <row r="18" spans="2:18" x14ac:dyDescent="0.2">
      <c r="B18" s="89">
        <v>42002</v>
      </c>
      <c r="C18" s="80">
        <v>46.759998000000003</v>
      </c>
      <c r="D18" s="80"/>
      <c r="E18" s="80">
        <v>109.33000199999999</v>
      </c>
      <c r="F18" s="80"/>
      <c r="G18" s="81">
        <f>(tblPtf2[[#This Row],[Asset 1]]-C17+tblPtf2[[#This Row],[Div 1]])/C17</f>
        <v>-2.3391875033586508E-2</v>
      </c>
      <c r="H18" s="81">
        <f>(tblPtf2[[#This Row],[Asset 2]]-E17+tblPtf2[[#This Row],[Div 2]])/E17</f>
        <v>-4.088074464217472E-2</v>
      </c>
      <c r="N18" s="85">
        <v>0.75</v>
      </c>
      <c r="O18" s="85">
        <f t="shared" si="1"/>
        <v>0.25</v>
      </c>
      <c r="P18" s="86">
        <f>N18*$K$3+O18*$L$3</f>
        <v>3.3876423947659428E-3</v>
      </c>
      <c r="Q18" s="86">
        <f t="shared" si="2"/>
        <v>1.2085193641794344E-3</v>
      </c>
      <c r="R18" s="92">
        <f t="shared" si="0"/>
        <v>4.3017134687197843E-4</v>
      </c>
    </row>
    <row r="19" spans="2:18" x14ac:dyDescent="0.2">
      <c r="B19" s="89">
        <v>42009</v>
      </c>
      <c r="C19" s="80">
        <v>47.189999</v>
      </c>
      <c r="D19" s="80"/>
      <c r="E19" s="80">
        <v>112.010002</v>
      </c>
      <c r="F19" s="80"/>
      <c r="G19" s="81">
        <f>(tblPtf2[[#This Row],[Asset 1]]-C18+tblPtf2[[#This Row],[Div 1]])/C18</f>
        <v>9.1959157055566416E-3</v>
      </c>
      <c r="H19" s="81">
        <f>(tblPtf2[[#This Row],[Asset 2]]-E18+tblPtf2[[#This Row],[Div 2]])/E18</f>
        <v>2.451294201933708E-2</v>
      </c>
      <c r="N19" s="85">
        <v>0.8</v>
      </c>
      <c r="O19" s="85">
        <f t="shared" si="1"/>
        <v>0.19999999999999996</v>
      </c>
      <c r="P19" s="86">
        <f>N19*$K$3+O19*$L$3</f>
        <v>3.3832295552428111E-3</v>
      </c>
      <c r="Q19" s="86">
        <f t="shared" si="2"/>
        <v>1.2634965194934583E-3</v>
      </c>
      <c r="R19" s="92">
        <f t="shared" si="0"/>
        <v>5.9930621139109622E-4</v>
      </c>
    </row>
    <row r="20" spans="2:18" x14ac:dyDescent="0.2">
      <c r="B20" s="89">
        <v>42016</v>
      </c>
      <c r="C20" s="80">
        <v>46.240001999999997</v>
      </c>
      <c r="D20" s="80"/>
      <c r="E20" s="80">
        <v>105.989998</v>
      </c>
      <c r="F20" s="80"/>
      <c r="G20" s="81">
        <f>(tblPtf2[[#This Row],[Asset 1]]-C19+tblPtf2[[#This Row],[Div 1]])/C19</f>
        <v>-2.0131320621558039E-2</v>
      </c>
      <c r="H20" s="81">
        <f>(tblPtf2[[#This Row],[Asset 2]]-E19+tblPtf2[[#This Row],[Div 2]])/E19</f>
        <v>-5.3745236072757149E-2</v>
      </c>
      <c r="N20" s="85">
        <v>0.85</v>
      </c>
      <c r="O20" s="85">
        <f t="shared" si="1"/>
        <v>0.15000000000000002</v>
      </c>
      <c r="P20" s="86">
        <f>N20*$K$3+O20*$L$3</f>
        <v>3.3788167157196786E-3</v>
      </c>
      <c r="Q20" s="86">
        <f t="shared" si="2"/>
        <v>1.3256953056084127E-3</v>
      </c>
      <c r="R20" s="92">
        <f t="shared" si="0"/>
        <v>7.9641865383934282E-4</v>
      </c>
    </row>
    <row r="21" spans="2:18" x14ac:dyDescent="0.2">
      <c r="B21" s="89">
        <v>42024</v>
      </c>
      <c r="C21" s="80">
        <v>47.18</v>
      </c>
      <c r="D21" s="80"/>
      <c r="E21" s="80">
        <v>112.980003</v>
      </c>
      <c r="F21" s="80"/>
      <c r="G21" s="81">
        <f>(tblPtf2[[#This Row],[Asset 1]]-C20+tblPtf2[[#This Row],[Div 1]])/C20</f>
        <v>2.032867559132032E-2</v>
      </c>
      <c r="H21" s="81">
        <f>(tblPtf2[[#This Row],[Asset 2]]-E20+tblPtf2[[#This Row],[Div 2]])/E20</f>
        <v>6.5949666307192456E-2</v>
      </c>
      <c r="N21" s="85">
        <v>0.9</v>
      </c>
      <c r="O21" s="85">
        <f t="shared" si="1"/>
        <v>9.9999999999999978E-2</v>
      </c>
      <c r="P21" s="86">
        <f>N21*$K$3+O21*$L$3</f>
        <v>3.374403876196547E-3</v>
      </c>
      <c r="Q21" s="86">
        <f t="shared" si="2"/>
        <v>1.3951157225242986E-3</v>
      </c>
      <c r="R21" s="92">
        <f t="shared" si="0"/>
        <v>1.0215086742167197E-3</v>
      </c>
    </row>
    <row r="22" spans="2:18" x14ac:dyDescent="0.2">
      <c r="B22" s="89">
        <v>42030</v>
      </c>
      <c r="C22" s="80">
        <v>40.400002000000001</v>
      </c>
      <c r="D22" s="80"/>
      <c r="E22" s="80">
        <v>117.160004</v>
      </c>
      <c r="F22" s="80"/>
      <c r="G22" s="81">
        <f>(tblPtf2[[#This Row],[Asset 1]]-C21+tblPtf2[[#This Row],[Div 1]])/C21</f>
        <v>-0.14370491733785501</v>
      </c>
      <c r="H22" s="81">
        <f>(tblPtf2[[#This Row],[Asset 2]]-E21+tblPtf2[[#This Row],[Div 2]])/E21</f>
        <v>3.6997706576446139E-2</v>
      </c>
      <c r="N22" s="85">
        <v>0.95</v>
      </c>
      <c r="O22" s="85">
        <f t="shared" si="1"/>
        <v>5.0000000000000044E-2</v>
      </c>
      <c r="P22" s="86">
        <f>N22*$K$3+O22*$L$3</f>
        <v>3.3699910366734153E-3</v>
      </c>
      <c r="Q22" s="86">
        <f t="shared" si="2"/>
        <v>1.4717577702411152E-3</v>
      </c>
      <c r="R22" s="92">
        <f t="shared" si="0"/>
        <v>1.2745762725232263E-3</v>
      </c>
    </row>
    <row r="23" spans="2:18" x14ac:dyDescent="0.2">
      <c r="B23" s="89">
        <v>42037</v>
      </c>
      <c r="C23" s="80">
        <v>42.41</v>
      </c>
      <c r="D23" s="80"/>
      <c r="E23" s="80">
        <v>118.93</v>
      </c>
      <c r="F23" s="80"/>
      <c r="G23" s="81">
        <f>(tblPtf2[[#This Row],[Asset 1]]-C22+tblPtf2[[#This Row],[Div 1]])/C22</f>
        <v>4.9752423279582902E-2</v>
      </c>
      <c r="H23" s="81">
        <f>(tblPtf2[[#This Row],[Asset 2]]-E22+tblPtf2[[#This Row],[Div 2]])/E22</f>
        <v>1.5107510580146498E-2</v>
      </c>
      <c r="N23" s="85">
        <v>1</v>
      </c>
      <c r="O23" s="85">
        <f t="shared" si="1"/>
        <v>0</v>
      </c>
      <c r="P23" s="86">
        <f>N23*$K$3+O23*$L$3</f>
        <v>3.3655781971502837E-3</v>
      </c>
      <c r="Q23" s="86">
        <f t="shared" si="2"/>
        <v>1.5556214487588628E-3</v>
      </c>
      <c r="R23" s="92">
        <f t="shared" si="0"/>
        <v>1.5556214487588628E-3</v>
      </c>
    </row>
    <row r="24" spans="2:18" x14ac:dyDescent="0.2">
      <c r="B24" s="89">
        <v>42044</v>
      </c>
      <c r="C24" s="80">
        <v>43.869999</v>
      </c>
      <c r="D24" s="80"/>
      <c r="E24" s="80">
        <v>127.08000199999999</v>
      </c>
      <c r="F24" s="80">
        <v>0.47</v>
      </c>
      <c r="G24" s="81">
        <f>(tblPtf2[[#This Row],[Asset 1]]-C23+tblPtf2[[#This Row],[Div 1]])/C23</f>
        <v>3.4425819382221258E-2</v>
      </c>
      <c r="H24" s="81">
        <f>(tblPtf2[[#This Row],[Asset 2]]-E23+tblPtf2[[#This Row],[Div 2]])/E23</f>
        <v>7.2479626671150987E-2</v>
      </c>
    </row>
    <row r="25" spans="2:18" x14ac:dyDescent="0.2">
      <c r="B25" s="89">
        <v>42052</v>
      </c>
      <c r="C25" s="80">
        <v>43.860000999999997</v>
      </c>
      <c r="D25" s="80">
        <v>0.31</v>
      </c>
      <c r="E25" s="80">
        <v>129.5</v>
      </c>
      <c r="F25" s="80"/>
      <c r="G25" s="81">
        <f>(tblPtf2[[#This Row],[Asset 1]]-C24+tblPtf2[[#This Row],[Div 1]])/C24</f>
        <v>6.8384318859910833E-3</v>
      </c>
      <c r="H25" s="81">
        <f>(tblPtf2[[#This Row],[Asset 2]]-E24+tblPtf2[[#This Row],[Div 2]])/E24</f>
        <v>1.9043106404735555E-2</v>
      </c>
    </row>
    <row r="26" spans="2:18" x14ac:dyDescent="0.2">
      <c r="B26" s="89">
        <v>42058</v>
      </c>
      <c r="C26" s="80">
        <v>43.849997999999999</v>
      </c>
      <c r="D26" s="80"/>
      <c r="E26" s="80">
        <v>128.46000699999999</v>
      </c>
      <c r="F26" s="80"/>
      <c r="G26" s="81">
        <f>(tblPtf2[[#This Row],[Asset 1]]-C25+tblPtf2[[#This Row],[Div 1]])/C25</f>
        <v>-2.2806657026746402E-4</v>
      </c>
      <c r="H26" s="81">
        <f>(tblPtf2[[#This Row],[Asset 2]]-E25+tblPtf2[[#This Row],[Div 2]])/E25</f>
        <v>-8.0308339768340523E-3</v>
      </c>
    </row>
    <row r="27" spans="2:18" x14ac:dyDescent="0.2">
      <c r="B27" s="89">
        <v>42065</v>
      </c>
      <c r="C27" s="80">
        <v>42.360000999999997</v>
      </c>
      <c r="D27" s="80"/>
      <c r="E27" s="80">
        <v>126.599998</v>
      </c>
      <c r="F27" s="80"/>
      <c r="G27" s="81">
        <f>(tblPtf2[[#This Row],[Asset 1]]-C26+tblPtf2[[#This Row],[Div 1]])/C26</f>
        <v>-3.3979408619357346E-2</v>
      </c>
      <c r="H27" s="81">
        <f>(tblPtf2[[#This Row],[Asset 2]]-E26+tblPtf2[[#This Row],[Div 2]])/E26</f>
        <v>-1.4479284591662766E-2</v>
      </c>
    </row>
    <row r="28" spans="2:18" x14ac:dyDescent="0.2">
      <c r="B28" s="89">
        <v>42072</v>
      </c>
      <c r="C28" s="80">
        <v>41.380001</v>
      </c>
      <c r="D28" s="80"/>
      <c r="E28" s="80">
        <v>123.589996</v>
      </c>
      <c r="F28" s="80"/>
      <c r="G28" s="81">
        <f>(tblPtf2[[#This Row],[Asset 1]]-C27+tblPtf2[[#This Row],[Div 1]])/C27</f>
        <v>-2.3135032503894346E-2</v>
      </c>
      <c r="H28" s="81">
        <f>(tblPtf2[[#This Row],[Asset 2]]-E27+tblPtf2[[#This Row],[Div 2]])/E27</f>
        <v>-2.3775687579394748E-2</v>
      </c>
    </row>
    <row r="29" spans="2:18" x14ac:dyDescent="0.2">
      <c r="B29" s="89">
        <v>42079</v>
      </c>
      <c r="C29" s="80">
        <v>42.880001</v>
      </c>
      <c r="D29" s="80"/>
      <c r="E29" s="80">
        <v>125.900002</v>
      </c>
      <c r="F29" s="80"/>
      <c r="G29" s="81">
        <f>(tblPtf2[[#This Row],[Asset 1]]-C28+tblPtf2[[#This Row],[Div 1]])/C28</f>
        <v>3.6249394967390165E-2</v>
      </c>
      <c r="H29" s="81">
        <f>(tblPtf2[[#This Row],[Asset 2]]-E28+tblPtf2[[#This Row],[Div 2]])/E28</f>
        <v>1.8690881744182607E-2</v>
      </c>
    </row>
    <row r="30" spans="2:18" x14ac:dyDescent="0.2">
      <c r="B30" s="89">
        <v>42086</v>
      </c>
      <c r="C30" s="80">
        <v>40.970001000000003</v>
      </c>
      <c r="D30" s="80"/>
      <c r="E30" s="80">
        <v>123.25</v>
      </c>
      <c r="F30" s="80"/>
      <c r="G30" s="81">
        <f>(tblPtf2[[#This Row],[Asset 1]]-C29+tblPtf2[[#This Row],[Div 1]])/C29</f>
        <v>-4.4542909408980577E-2</v>
      </c>
      <c r="H30" s="81">
        <f>(tblPtf2[[#This Row],[Asset 2]]-E29+tblPtf2[[#This Row],[Div 2]])/E29</f>
        <v>-2.1048466702963203E-2</v>
      </c>
    </row>
    <row r="31" spans="2:18" x14ac:dyDescent="0.2">
      <c r="B31" s="89">
        <v>42093</v>
      </c>
      <c r="C31" s="80">
        <v>40.290000999999997</v>
      </c>
      <c r="D31" s="80"/>
      <c r="E31" s="80">
        <v>125.32</v>
      </c>
      <c r="F31" s="80"/>
      <c r="G31" s="81">
        <f>(tblPtf2[[#This Row],[Asset 1]]-C30+tblPtf2[[#This Row],[Div 1]])/C30</f>
        <v>-1.6597509968330409E-2</v>
      </c>
      <c r="H31" s="81">
        <f>(tblPtf2[[#This Row],[Asset 2]]-E30+tblPtf2[[#This Row],[Div 2]])/E30</f>
        <v>1.6795131845841731E-2</v>
      </c>
    </row>
    <row r="32" spans="2:18" x14ac:dyDescent="0.2">
      <c r="B32" s="89">
        <v>42100</v>
      </c>
      <c r="C32" s="80">
        <v>41.720001000000003</v>
      </c>
      <c r="D32" s="80"/>
      <c r="E32" s="80">
        <v>127.099998</v>
      </c>
      <c r="F32" s="80"/>
      <c r="G32" s="81">
        <f>(tblPtf2[[#This Row],[Asset 1]]-C31+tblPtf2[[#This Row],[Div 1]])/C31</f>
        <v>3.5492677202961773E-2</v>
      </c>
      <c r="H32" s="81">
        <f>(tblPtf2[[#This Row],[Asset 2]]-E31+tblPtf2[[#This Row],[Div 2]])/E31</f>
        <v>1.4203622725821947E-2</v>
      </c>
    </row>
    <row r="33" spans="2:8" x14ac:dyDescent="0.2">
      <c r="B33" s="89">
        <v>42107</v>
      </c>
      <c r="C33" s="80">
        <v>41.619999</v>
      </c>
      <c r="D33" s="80"/>
      <c r="E33" s="80">
        <v>124.75</v>
      </c>
      <c r="F33" s="80"/>
      <c r="G33" s="81">
        <f>(tblPtf2[[#This Row],[Asset 1]]-C32+tblPtf2[[#This Row],[Div 1]])/C32</f>
        <v>-2.3969798083179209E-3</v>
      </c>
      <c r="H33" s="81">
        <f>(tblPtf2[[#This Row],[Asset 2]]-E32+tblPtf2[[#This Row],[Div 2]])/E32</f>
        <v>-1.848936299747227E-2</v>
      </c>
    </row>
    <row r="34" spans="2:8" x14ac:dyDescent="0.2">
      <c r="B34" s="89">
        <v>42114</v>
      </c>
      <c r="C34" s="80">
        <v>47.869999</v>
      </c>
      <c r="D34" s="80"/>
      <c r="E34" s="80">
        <v>130.279999</v>
      </c>
      <c r="F34" s="80"/>
      <c r="G34" s="81">
        <f>(tblPtf2[[#This Row],[Asset 1]]-C33+tblPtf2[[#This Row],[Div 1]])/C33</f>
        <v>0.15016819197905315</v>
      </c>
      <c r="H34" s="81">
        <f>(tblPtf2[[#This Row],[Asset 2]]-E33+tblPtf2[[#This Row],[Div 2]])/E33</f>
        <v>4.4328649298597221E-2</v>
      </c>
    </row>
    <row r="35" spans="2:8" x14ac:dyDescent="0.2">
      <c r="B35" s="89">
        <v>42121</v>
      </c>
      <c r="C35" s="80">
        <v>48.66</v>
      </c>
      <c r="D35" s="80"/>
      <c r="E35" s="80">
        <v>128.949997</v>
      </c>
      <c r="F35" s="80"/>
      <c r="G35" s="81">
        <f>(tblPtf2[[#This Row],[Asset 1]]-C34+tblPtf2[[#This Row],[Div 1]])/C34</f>
        <v>1.6503050271632482E-2</v>
      </c>
      <c r="H35" s="81">
        <f>(tblPtf2[[#This Row],[Asset 2]]-E34+tblPtf2[[#This Row],[Div 2]])/E34</f>
        <v>-1.0208796516800766E-2</v>
      </c>
    </row>
    <row r="36" spans="2:8" x14ac:dyDescent="0.2">
      <c r="B36" s="89">
        <v>42128</v>
      </c>
      <c r="C36" s="80">
        <v>47.75</v>
      </c>
      <c r="D36" s="80"/>
      <c r="E36" s="80">
        <v>127.620003</v>
      </c>
      <c r="F36" s="80"/>
      <c r="G36" s="81">
        <f>(tblPtf2[[#This Row],[Asset 1]]-C35+tblPtf2[[#This Row],[Div 1]])/C35</f>
        <v>-1.8701191944101862E-2</v>
      </c>
      <c r="H36" s="81">
        <f>(tblPtf2[[#This Row],[Asset 2]]-E35+tblPtf2[[#This Row],[Div 2]])/E35</f>
        <v>-1.0314028933246112E-2</v>
      </c>
    </row>
    <row r="37" spans="2:8" x14ac:dyDescent="0.2">
      <c r="B37" s="89">
        <v>42135</v>
      </c>
      <c r="C37" s="80">
        <v>48.299999</v>
      </c>
      <c r="D37" s="80"/>
      <c r="E37" s="80">
        <v>128.770004</v>
      </c>
      <c r="F37" s="80">
        <v>0.52</v>
      </c>
      <c r="G37" s="81">
        <f>(tblPtf2[[#This Row],[Asset 1]]-C36+tblPtf2[[#This Row],[Div 1]])/C36</f>
        <v>1.1518303664921459E-2</v>
      </c>
      <c r="H37" s="81">
        <f>(tblPtf2[[#This Row],[Asset 2]]-E36+tblPtf2[[#This Row],[Div 2]])/E36</f>
        <v>1.3085730769023749E-2</v>
      </c>
    </row>
    <row r="38" spans="2:8" x14ac:dyDescent="0.2">
      <c r="B38" s="89">
        <v>42142</v>
      </c>
      <c r="C38" s="80">
        <v>46.900002000000001</v>
      </c>
      <c r="D38" s="80">
        <v>0.31</v>
      </c>
      <c r="E38" s="80">
        <v>132.53999300000001</v>
      </c>
      <c r="F38" s="80"/>
      <c r="G38" s="81">
        <f>(tblPtf2[[#This Row],[Asset 1]]-C37+tblPtf2[[#This Row],[Div 1]])/C37</f>
        <v>-2.2567226140108181E-2</v>
      </c>
      <c r="H38" s="81">
        <f>(tblPtf2[[#This Row],[Asset 2]]-E37+tblPtf2[[#This Row],[Div 2]])/E37</f>
        <v>2.927691918065025E-2</v>
      </c>
    </row>
    <row r="39" spans="2:8" x14ac:dyDescent="0.2">
      <c r="B39" s="89">
        <v>42150</v>
      </c>
      <c r="C39" s="80">
        <v>46.860000999999997</v>
      </c>
      <c r="D39" s="80"/>
      <c r="E39" s="80">
        <v>130.279999</v>
      </c>
      <c r="F39" s="80"/>
      <c r="G39" s="81">
        <f>(tblPtf2[[#This Row],[Asset 1]]-C38+tblPtf2[[#This Row],[Div 1]])/C38</f>
        <v>-8.5289975040947182E-4</v>
      </c>
      <c r="H39" s="81">
        <f>(tblPtf2[[#This Row],[Asset 2]]-E38+tblPtf2[[#This Row],[Div 2]])/E38</f>
        <v>-1.7051411795381683E-2</v>
      </c>
    </row>
    <row r="40" spans="2:8" x14ac:dyDescent="0.2">
      <c r="B40" s="89">
        <v>42156</v>
      </c>
      <c r="C40" s="80">
        <v>46.139999000000003</v>
      </c>
      <c r="D40" s="80"/>
      <c r="E40" s="80">
        <v>128.64999399999999</v>
      </c>
      <c r="F40" s="80"/>
      <c r="G40" s="81">
        <f>(tblPtf2[[#This Row],[Asset 1]]-C39+tblPtf2[[#This Row],[Div 1]])/C39</f>
        <v>-1.5364959125800997E-2</v>
      </c>
      <c r="H40" s="81">
        <f>(tblPtf2[[#This Row],[Asset 2]]-E39+tblPtf2[[#This Row],[Div 2]])/E39</f>
        <v>-1.2511552137792165E-2</v>
      </c>
    </row>
    <row r="41" spans="2:8" x14ac:dyDescent="0.2">
      <c r="B41" s="89">
        <v>42163</v>
      </c>
      <c r="C41" s="80">
        <v>45.970001000000003</v>
      </c>
      <c r="D41" s="80"/>
      <c r="E41" s="80">
        <v>127.16999800000001</v>
      </c>
      <c r="F41" s="80"/>
      <c r="G41" s="81">
        <f>(tblPtf2[[#This Row],[Asset 1]]-C40+tblPtf2[[#This Row],[Div 1]])/C40</f>
        <v>-3.6843953984480936E-3</v>
      </c>
      <c r="H41" s="81">
        <f>(tblPtf2[[#This Row],[Asset 2]]-E40+tblPtf2[[#This Row],[Div 2]])/E40</f>
        <v>-1.1504050283904294E-2</v>
      </c>
    </row>
    <row r="42" spans="2:8" x14ac:dyDescent="0.2">
      <c r="B42" s="89">
        <v>42170</v>
      </c>
      <c r="C42" s="80">
        <v>46.099997999999999</v>
      </c>
      <c r="D42" s="80"/>
      <c r="E42" s="80">
        <v>126.599998</v>
      </c>
      <c r="F42" s="80"/>
      <c r="G42" s="81">
        <f>(tblPtf2[[#This Row],[Asset 1]]-C41+tblPtf2[[#This Row],[Div 1]])/C41</f>
        <v>2.8278659380493796E-3</v>
      </c>
      <c r="H42" s="81">
        <f>(tblPtf2[[#This Row],[Asset 2]]-E41+tblPtf2[[#This Row],[Div 2]])/E41</f>
        <v>-4.482189266056349E-3</v>
      </c>
    </row>
    <row r="43" spans="2:8" x14ac:dyDescent="0.2">
      <c r="B43" s="89">
        <v>42177</v>
      </c>
      <c r="C43" s="80">
        <v>45.259998000000003</v>
      </c>
      <c r="D43" s="80"/>
      <c r="E43" s="80">
        <v>126.75</v>
      </c>
      <c r="F43" s="80"/>
      <c r="G43" s="81">
        <f>(tblPtf2[[#This Row],[Asset 1]]-C42+tblPtf2[[#This Row],[Div 1]])/C42</f>
        <v>-1.8221258925000306E-2</v>
      </c>
      <c r="H43" s="81">
        <f>(tblPtf2[[#This Row],[Asset 2]]-E42+tblPtf2[[#This Row],[Div 2]])/E42</f>
        <v>1.1848499397290721E-3</v>
      </c>
    </row>
    <row r="44" spans="2:8" x14ac:dyDescent="0.2">
      <c r="B44" s="89">
        <v>42184</v>
      </c>
      <c r="C44" s="80">
        <v>44.400002000000001</v>
      </c>
      <c r="D44" s="80"/>
      <c r="E44" s="80">
        <v>126.44000200000001</v>
      </c>
      <c r="F44" s="80"/>
      <c r="G44" s="81">
        <f>(tblPtf2[[#This Row],[Asset 1]]-C43+tblPtf2[[#This Row],[Div 1]])/C43</f>
        <v>-1.9001238135273501E-2</v>
      </c>
      <c r="H44" s="81">
        <f>(tblPtf2[[#This Row],[Asset 2]]-E43+tblPtf2[[#This Row],[Div 2]])/E43</f>
        <v>-2.4457435897435355E-3</v>
      </c>
    </row>
    <row r="45" spans="2:8" x14ac:dyDescent="0.2">
      <c r="B45" s="89">
        <v>42191</v>
      </c>
      <c r="C45" s="80">
        <v>44.610000999999997</v>
      </c>
      <c r="D45" s="80"/>
      <c r="E45" s="80">
        <v>123.279999</v>
      </c>
      <c r="F45" s="80"/>
      <c r="G45" s="81">
        <f>(tblPtf2[[#This Row],[Asset 1]]-C44+tblPtf2[[#This Row],[Div 1]])/C44</f>
        <v>4.7297069941572584E-3</v>
      </c>
      <c r="H45" s="81">
        <f>(tblPtf2[[#This Row],[Asset 2]]-E44+tblPtf2[[#This Row],[Div 2]])/E44</f>
        <v>-2.4992114441757151E-2</v>
      </c>
    </row>
    <row r="46" spans="2:8" x14ac:dyDescent="0.2">
      <c r="B46" s="89">
        <v>42198</v>
      </c>
      <c r="C46" s="80">
        <v>46.619999</v>
      </c>
      <c r="D46" s="80"/>
      <c r="E46" s="80">
        <v>129.61999499999999</v>
      </c>
      <c r="F46" s="80"/>
      <c r="G46" s="81">
        <f>(tblPtf2[[#This Row],[Asset 1]]-C45+tblPtf2[[#This Row],[Div 1]])/C45</f>
        <v>4.5057116228264672E-2</v>
      </c>
      <c r="H46" s="81">
        <f>(tblPtf2[[#This Row],[Asset 2]]-E45+tblPtf2[[#This Row],[Div 2]])/E45</f>
        <v>5.1427612357459421E-2</v>
      </c>
    </row>
    <row r="47" spans="2:8" x14ac:dyDescent="0.2">
      <c r="B47" s="89">
        <v>42205</v>
      </c>
      <c r="C47" s="80">
        <v>45.939999</v>
      </c>
      <c r="D47" s="80"/>
      <c r="E47" s="80">
        <v>124.5</v>
      </c>
      <c r="F47" s="80"/>
      <c r="G47" s="81">
        <f>(tblPtf2[[#This Row],[Asset 1]]-C46+tblPtf2[[#This Row],[Div 1]])/C46</f>
        <v>-1.4586014898884912E-2</v>
      </c>
      <c r="H47" s="81">
        <f>(tblPtf2[[#This Row],[Asset 2]]-E46+tblPtf2[[#This Row],[Div 2]])/E46</f>
        <v>-3.9500040097980173E-2</v>
      </c>
    </row>
    <row r="48" spans="2:8" x14ac:dyDescent="0.2">
      <c r="B48" s="89">
        <v>42212</v>
      </c>
      <c r="C48" s="80">
        <v>46.700001</v>
      </c>
      <c r="D48" s="80"/>
      <c r="E48" s="80">
        <v>121.300003</v>
      </c>
      <c r="F48" s="80"/>
      <c r="G48" s="81">
        <f>(tblPtf2[[#This Row],[Asset 1]]-C47+tblPtf2[[#This Row],[Div 1]])/C47</f>
        <v>1.6543361265636946E-2</v>
      </c>
      <c r="H48" s="81">
        <f>(tblPtf2[[#This Row],[Asset 2]]-E47+tblPtf2[[#This Row],[Div 2]])/E47</f>
        <v>-2.5702787148594346E-2</v>
      </c>
    </row>
    <row r="49" spans="2:8" x14ac:dyDescent="0.2">
      <c r="B49" s="89">
        <v>42219</v>
      </c>
      <c r="C49" s="80">
        <v>46.740001999999997</v>
      </c>
      <c r="D49" s="80"/>
      <c r="E49" s="80">
        <v>115.519997</v>
      </c>
      <c r="F49" s="80"/>
      <c r="G49" s="81">
        <f>(tblPtf2[[#This Row],[Asset 1]]-C48+tblPtf2[[#This Row],[Div 1]])/C48</f>
        <v>8.5655244418510017E-4</v>
      </c>
      <c r="H49" s="81">
        <f>(tblPtf2[[#This Row],[Asset 2]]-E48+tblPtf2[[#This Row],[Div 2]])/E48</f>
        <v>-4.7650501706912568E-2</v>
      </c>
    </row>
    <row r="50" spans="2:8" x14ac:dyDescent="0.2">
      <c r="B50" s="89">
        <v>42226</v>
      </c>
      <c r="C50" s="80">
        <v>47</v>
      </c>
      <c r="D50" s="80"/>
      <c r="E50" s="80">
        <v>115.959999</v>
      </c>
      <c r="F50" s="80">
        <v>0.52</v>
      </c>
      <c r="G50" s="81">
        <f>(tblPtf2[[#This Row],[Asset 1]]-C49+tblPtf2[[#This Row],[Div 1]])/C49</f>
        <v>5.5626441778929125E-3</v>
      </c>
      <c r="H50" s="81">
        <f>(tblPtf2[[#This Row],[Asset 2]]-E49+tblPtf2[[#This Row],[Div 2]])/E49</f>
        <v>8.3102668363122679E-3</v>
      </c>
    </row>
    <row r="51" spans="2:8" x14ac:dyDescent="0.2">
      <c r="B51" s="89">
        <v>42233</v>
      </c>
      <c r="C51" s="80">
        <v>43.07</v>
      </c>
      <c r="D51" s="80">
        <v>0.31</v>
      </c>
      <c r="E51" s="80">
        <v>105.760002</v>
      </c>
      <c r="F51" s="80"/>
      <c r="G51" s="81">
        <f>(tblPtf2[[#This Row],[Asset 1]]-C50+tblPtf2[[#This Row],[Div 1]])/C50</f>
        <v>-7.7021276595744675E-2</v>
      </c>
      <c r="H51" s="81">
        <f>(tblPtf2[[#This Row],[Asset 2]]-E50+tblPtf2[[#This Row],[Div 2]])/E50</f>
        <v>-8.7961340875830782E-2</v>
      </c>
    </row>
    <row r="52" spans="2:8" x14ac:dyDescent="0.2">
      <c r="B52" s="89">
        <v>42240</v>
      </c>
      <c r="C52" s="80">
        <v>43.93</v>
      </c>
      <c r="D52" s="80"/>
      <c r="E52" s="80">
        <v>113.290001</v>
      </c>
      <c r="F52" s="80"/>
      <c r="G52" s="81">
        <f>(tblPtf2[[#This Row],[Asset 1]]-C51+tblPtf2[[#This Row],[Div 1]])/C51</f>
        <v>1.9967494775946122E-2</v>
      </c>
      <c r="H52" s="81">
        <f>(tblPtf2[[#This Row],[Asset 2]]-E51+tblPtf2[[#This Row],[Div 2]])/E51</f>
        <v>7.1198930196691976E-2</v>
      </c>
    </row>
    <row r="53" spans="2:8" x14ac:dyDescent="0.2">
      <c r="B53" s="89">
        <v>42247</v>
      </c>
      <c r="C53" s="80">
        <v>42.610000999999997</v>
      </c>
      <c r="D53" s="80"/>
      <c r="E53" s="80">
        <v>109.269997</v>
      </c>
      <c r="F53" s="80"/>
      <c r="G53" s="81">
        <f>(tblPtf2[[#This Row],[Asset 1]]-C52+tblPtf2[[#This Row],[Div 1]])/C52</f>
        <v>-3.0047780559981852E-2</v>
      </c>
      <c r="H53" s="81">
        <f>(tblPtf2[[#This Row],[Asset 2]]-E52+tblPtf2[[#This Row],[Div 2]])/E52</f>
        <v>-3.548419070099576E-2</v>
      </c>
    </row>
    <row r="54" spans="2:8" x14ac:dyDescent="0.2">
      <c r="B54" s="89">
        <v>42255</v>
      </c>
      <c r="C54" s="80">
        <v>43.48</v>
      </c>
      <c r="D54" s="80"/>
      <c r="E54" s="80">
        <v>114.209999</v>
      </c>
      <c r="F54" s="80"/>
      <c r="G54" s="81">
        <f>(tblPtf2[[#This Row],[Asset 1]]-C53+tblPtf2[[#This Row],[Div 1]])/C53</f>
        <v>2.0417718366164791E-2</v>
      </c>
      <c r="H54" s="81">
        <f>(tblPtf2[[#This Row],[Asset 2]]-E53+tblPtf2[[#This Row],[Div 2]])/E53</f>
        <v>4.5209134580647903E-2</v>
      </c>
    </row>
    <row r="55" spans="2:8" x14ac:dyDescent="0.2">
      <c r="B55" s="89">
        <v>42261</v>
      </c>
      <c r="C55" s="80">
        <v>43.48</v>
      </c>
      <c r="D55" s="80"/>
      <c r="E55" s="80">
        <v>113.449997</v>
      </c>
      <c r="F55" s="80"/>
      <c r="G55" s="81">
        <f>(tblPtf2[[#This Row],[Asset 1]]-C54+tblPtf2[[#This Row],[Div 1]])/C54</f>
        <v>0</v>
      </c>
      <c r="H55" s="81">
        <f>(tblPtf2[[#This Row],[Asset 2]]-E54+tblPtf2[[#This Row],[Div 2]])/E54</f>
        <v>-6.6544261155277668E-3</v>
      </c>
    </row>
    <row r="56" spans="2:8" x14ac:dyDescent="0.2">
      <c r="B56" s="89">
        <v>42268</v>
      </c>
      <c r="C56" s="80">
        <v>43.939999</v>
      </c>
      <c r="D56" s="80"/>
      <c r="E56" s="80">
        <v>114.709999</v>
      </c>
      <c r="F56" s="80"/>
      <c r="G56" s="81">
        <f>(tblPtf2[[#This Row],[Asset 1]]-C55+tblPtf2[[#This Row],[Div 1]])/C55</f>
        <v>1.0579553817847365E-2</v>
      </c>
      <c r="H56" s="81">
        <f>(tblPtf2[[#This Row],[Asset 2]]-E55+tblPtf2[[#This Row],[Div 2]])/E55</f>
        <v>1.1106232113871278E-2</v>
      </c>
    </row>
    <row r="57" spans="2:8" x14ac:dyDescent="0.2">
      <c r="B57" s="89">
        <v>42275</v>
      </c>
      <c r="C57" s="80">
        <v>45.57</v>
      </c>
      <c r="D57" s="80"/>
      <c r="E57" s="80">
        <v>110.379997</v>
      </c>
      <c r="F57" s="80"/>
      <c r="G57" s="81">
        <f>(tblPtf2[[#This Row],[Asset 1]]-C56+tblPtf2[[#This Row],[Div 1]])/C56</f>
        <v>3.7096063657170317E-2</v>
      </c>
      <c r="H57" s="81">
        <f>(tblPtf2[[#This Row],[Asset 2]]-E56+tblPtf2[[#This Row],[Div 2]])/E56</f>
        <v>-3.7747380679516815E-2</v>
      </c>
    </row>
    <row r="58" spans="2:8" x14ac:dyDescent="0.2">
      <c r="B58" s="89">
        <v>42282</v>
      </c>
      <c r="C58" s="80">
        <v>47.110000999999997</v>
      </c>
      <c r="D58" s="80"/>
      <c r="E58" s="80">
        <v>112.120003</v>
      </c>
      <c r="F58" s="80"/>
      <c r="G58" s="81">
        <f>(tblPtf2[[#This Row],[Asset 1]]-C57+tblPtf2[[#This Row],[Div 1]])/C57</f>
        <v>3.3794184770682391E-2</v>
      </c>
      <c r="H58" s="81">
        <f>(tblPtf2[[#This Row],[Asset 2]]-E57+tblPtf2[[#This Row],[Div 2]])/E57</f>
        <v>1.5763780098671264E-2</v>
      </c>
    </row>
    <row r="59" spans="2:8" x14ac:dyDescent="0.2">
      <c r="B59" s="89">
        <v>42289</v>
      </c>
      <c r="C59" s="80">
        <v>47.509998000000003</v>
      </c>
      <c r="D59" s="80"/>
      <c r="E59" s="80">
        <v>111.040001</v>
      </c>
      <c r="F59" s="80"/>
      <c r="G59" s="81">
        <f>(tblPtf2[[#This Row],[Asset 1]]-C58+tblPtf2[[#This Row],[Div 1]])/C58</f>
        <v>8.4907024306793404E-3</v>
      </c>
      <c r="H59" s="81">
        <f>(tblPtf2[[#This Row],[Asset 2]]-E58+tblPtf2[[#This Row],[Div 2]])/E58</f>
        <v>-9.6325541482548231E-3</v>
      </c>
    </row>
    <row r="60" spans="2:8" x14ac:dyDescent="0.2">
      <c r="B60" s="89">
        <v>42296</v>
      </c>
      <c r="C60" s="80">
        <v>52.869999</v>
      </c>
      <c r="D60" s="80"/>
      <c r="E60" s="80">
        <v>119.08000199999999</v>
      </c>
      <c r="F60" s="80"/>
      <c r="G60" s="81">
        <f>(tblPtf2[[#This Row],[Asset 1]]-C59+tblPtf2[[#This Row],[Div 1]])/C59</f>
        <v>0.11281837982817841</v>
      </c>
      <c r="H60" s="81">
        <f>(tblPtf2[[#This Row],[Asset 2]]-E59+tblPtf2[[#This Row],[Div 2]])/E59</f>
        <v>7.240634841132601E-2</v>
      </c>
    </row>
    <row r="61" spans="2:8" x14ac:dyDescent="0.2">
      <c r="B61" s="89">
        <v>42303</v>
      </c>
      <c r="C61" s="80">
        <v>52.639999000000003</v>
      </c>
      <c r="D61" s="80"/>
      <c r="E61" s="80">
        <v>119.5</v>
      </c>
      <c r="F61" s="80"/>
      <c r="G61" s="81">
        <f>(tblPtf2[[#This Row],[Asset 1]]-C60+tblPtf2[[#This Row],[Div 1]])/C60</f>
        <v>-4.3502932542139232E-3</v>
      </c>
      <c r="H61" s="81">
        <f>(tblPtf2[[#This Row],[Asset 2]]-E60+tblPtf2[[#This Row],[Div 2]])/E60</f>
        <v>3.5270237902751025E-3</v>
      </c>
    </row>
    <row r="62" spans="2:8" x14ac:dyDescent="0.2">
      <c r="B62" s="89">
        <v>42310</v>
      </c>
      <c r="C62" s="80">
        <v>54.919998</v>
      </c>
      <c r="D62" s="80"/>
      <c r="E62" s="80">
        <v>121.05999799999999</v>
      </c>
      <c r="F62" s="80"/>
      <c r="G62" s="81">
        <f>(tblPtf2[[#This Row],[Asset 1]]-C61+tblPtf2[[#This Row],[Div 1]])/C61</f>
        <v>4.3313051734670364E-2</v>
      </c>
      <c r="H62" s="81">
        <f>(tblPtf2[[#This Row],[Asset 2]]-E61+tblPtf2[[#This Row],[Div 2]])/E61</f>
        <v>1.30543765690376E-2</v>
      </c>
    </row>
    <row r="63" spans="2:8" x14ac:dyDescent="0.2">
      <c r="B63" s="89">
        <v>42317</v>
      </c>
      <c r="C63" s="80">
        <v>52.84</v>
      </c>
      <c r="D63" s="80"/>
      <c r="E63" s="80">
        <v>112.339996</v>
      </c>
      <c r="F63" s="80">
        <v>0.52</v>
      </c>
      <c r="G63" s="81">
        <f>(tblPtf2[[#This Row],[Asset 1]]-C62+tblPtf2[[#This Row],[Div 1]])/C62</f>
        <v>-3.787323517382496E-2</v>
      </c>
      <c r="H63" s="81">
        <f>(tblPtf2[[#This Row],[Asset 2]]-E62+tblPtf2[[#This Row],[Div 2]])/E62</f>
        <v>-6.7735025074095859E-2</v>
      </c>
    </row>
    <row r="64" spans="2:8" x14ac:dyDescent="0.2">
      <c r="B64" s="89">
        <v>42324</v>
      </c>
      <c r="C64" s="80">
        <v>54.189999</v>
      </c>
      <c r="D64" s="80">
        <v>0.36</v>
      </c>
      <c r="E64" s="80">
        <v>119.300003</v>
      </c>
      <c r="F64" s="80"/>
      <c r="G64" s="81">
        <f>(tblPtf2[[#This Row],[Asset 1]]-C63+tblPtf2[[#This Row],[Div 1]])/C63</f>
        <v>3.236182816048442E-2</v>
      </c>
      <c r="H64" s="81">
        <f>(tblPtf2[[#This Row],[Asset 2]]-E63+tblPtf2[[#This Row],[Div 2]])/E63</f>
        <v>6.1954844648561359E-2</v>
      </c>
    </row>
    <row r="65" spans="2:8" x14ac:dyDescent="0.2">
      <c r="B65" s="89">
        <v>42331</v>
      </c>
      <c r="C65" s="80">
        <v>53.93</v>
      </c>
      <c r="D65" s="80"/>
      <c r="E65" s="80">
        <v>117.80999799999999</v>
      </c>
      <c r="F65" s="80"/>
      <c r="G65" s="81">
        <f>(tblPtf2[[#This Row],[Asset 1]]-C64+tblPtf2[[#This Row],[Div 1]])/C64</f>
        <v>-4.7979148329565487E-3</v>
      </c>
      <c r="H65" s="81">
        <f>(tblPtf2[[#This Row],[Asset 2]]-E64+tblPtf2[[#This Row],[Div 2]])/E64</f>
        <v>-1.248956380998591E-2</v>
      </c>
    </row>
  </sheetData>
  <mergeCells count="2">
    <mergeCell ref="K6:L6"/>
    <mergeCell ref="K5:L5"/>
  </mergeCells>
  <pageMargins left="0.7" right="0.7" top="0.75" bottom="0.75" header="0.3" footer="0.3"/>
  <ignoredErrors>
    <ignoredError sqref="G4:H30 G31:H65" calculatedColumn="1"/>
  </ignoredErrors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5"/>
  <sheetViews>
    <sheetView workbookViewId="0">
      <selection activeCell="N26" sqref="N26"/>
    </sheetView>
  </sheetViews>
  <sheetFormatPr defaultRowHeight="12.75" x14ac:dyDescent="0.2"/>
  <cols>
    <col min="1" max="1" width="3.28515625" customWidth="1"/>
    <col min="2" max="2" width="10.28515625" customWidth="1"/>
    <col min="3" max="3" width="9.42578125" customWidth="1"/>
    <col min="5" max="5" width="9.42578125" customWidth="1"/>
    <col min="7" max="7" width="9.42578125" customWidth="1"/>
    <col min="12" max="12" width="3.5703125" customWidth="1"/>
    <col min="13" max="13" width="8.85546875" bestFit="1" customWidth="1"/>
    <col min="17" max="17" width="4.42578125" customWidth="1"/>
  </cols>
  <sheetData>
    <row r="1" spans="2:24" x14ac:dyDescent="0.2">
      <c r="C1" s="2" t="s">
        <v>127</v>
      </c>
      <c r="E1" s="2" t="s">
        <v>126</v>
      </c>
      <c r="G1" s="2" t="s">
        <v>136</v>
      </c>
    </row>
    <row r="2" spans="2:24" x14ac:dyDescent="0.2">
      <c r="B2" s="5" t="s">
        <v>39</v>
      </c>
      <c r="C2" s="5" t="s">
        <v>128</v>
      </c>
      <c r="D2" s="5" t="s">
        <v>123</v>
      </c>
      <c r="E2" s="5" t="s">
        <v>125</v>
      </c>
      <c r="F2" s="5" t="s">
        <v>124</v>
      </c>
      <c r="G2" s="5" t="s">
        <v>129</v>
      </c>
      <c r="H2" s="5" t="s">
        <v>130</v>
      </c>
      <c r="I2" s="5" t="s">
        <v>118</v>
      </c>
      <c r="J2" s="5" t="s">
        <v>119</v>
      </c>
      <c r="K2" s="5" t="s">
        <v>131</v>
      </c>
      <c r="R2" s="77" t="s">
        <v>114</v>
      </c>
      <c r="S2" s="77" t="s">
        <v>115</v>
      </c>
      <c r="T2" s="77" t="s">
        <v>133</v>
      </c>
      <c r="U2" s="77" t="s">
        <v>134</v>
      </c>
      <c r="V2" s="77" t="s">
        <v>135</v>
      </c>
    </row>
    <row r="3" spans="2:24" x14ac:dyDescent="0.2">
      <c r="B3" s="32">
        <v>41901</v>
      </c>
      <c r="C3">
        <v>47.52</v>
      </c>
      <c r="E3">
        <v>100.959999</v>
      </c>
      <c r="G3">
        <v>26.290001</v>
      </c>
      <c r="N3" s="2" t="s">
        <v>132</v>
      </c>
      <c r="R3" s="85">
        <v>0</v>
      </c>
      <c r="S3" s="85">
        <v>0</v>
      </c>
      <c r="T3" s="85">
        <f>1-R3-S3</f>
        <v>1</v>
      </c>
      <c r="U3" s="86">
        <f t="array" aca="1" ref="U3" ca="1">MMULT(R3:T3,TRANSPOSE($N$11:$P$11))</f>
        <v>3.5374987573716468E-3</v>
      </c>
      <c r="V3" s="93">
        <f t="array" aca="1" ref="V3" ca="1">MMULT(R3:T3,MMULT($N$5:$P$7,TRANSPOSE(R3:T3)))</f>
        <v>1.1045235338178396E-3</v>
      </c>
      <c r="X3" s="92"/>
    </row>
    <row r="4" spans="2:24" x14ac:dyDescent="0.2">
      <c r="B4" s="32">
        <v>41904</v>
      </c>
      <c r="C4">
        <v>46.41</v>
      </c>
      <c r="E4">
        <v>100.75</v>
      </c>
      <c r="G4">
        <v>25.629999000000002</v>
      </c>
      <c r="I4" s="82">
        <f>(tblPtf3[[#This Row],[Asset 1]]-C3+tblPtf3[[#This Row],[Div 1]])/C3</f>
        <v>-2.3358585858585995E-2</v>
      </c>
      <c r="J4" s="82">
        <f>(tblPtf3[[#This Row],[Asset 2]]-E3+tblPtf3[[#This Row],[Div 2]])/E3</f>
        <v>-2.0800218114106388E-3</v>
      </c>
      <c r="K4" s="82">
        <f>(tblPtf3[[#This Row],[Asset 3]]-G3+tblPtf3[[#This Row],[Div 3]])/G3</f>
        <v>-2.5104677630099697E-2</v>
      </c>
      <c r="M4" s="5"/>
      <c r="N4" s="7" t="s">
        <v>118</v>
      </c>
      <c r="O4" s="7" t="s">
        <v>119</v>
      </c>
      <c r="P4" s="7" t="s">
        <v>131</v>
      </c>
      <c r="R4" s="85">
        <v>0.1</v>
      </c>
      <c r="S4" s="85">
        <v>0.1</v>
      </c>
      <c r="T4" s="85">
        <f t="shared" ref="T4:T23" si="0">1-R4-S4</f>
        <v>0.8</v>
      </c>
      <c r="U4" s="86">
        <f t="array" aca="1" ref="U4" ca="1">MMULT(R4:T4,TRANSPOSE($N$11:$P$11))</f>
        <v>3.511940324373638E-3</v>
      </c>
      <c r="V4" s="93">
        <f t="array" aca="1" ref="V4" ca="1">MMULT(R4:T4,MMULT($N$5:$P$7,TRANSPOSE(R4:T4)))</f>
        <v>9.2257323767375035E-4</v>
      </c>
    </row>
    <row r="5" spans="2:24" x14ac:dyDescent="0.2">
      <c r="B5" s="32">
        <v>41911</v>
      </c>
      <c r="C5">
        <v>46.09</v>
      </c>
      <c r="E5">
        <v>99.620002999999997</v>
      </c>
      <c r="G5">
        <v>25.4</v>
      </c>
      <c r="I5" s="82">
        <f>(tblPtf3[[#This Row],[Asset 1]]-C4+tblPtf3[[#This Row],[Div 1]])/C4</f>
        <v>-6.8950657185949836E-3</v>
      </c>
      <c r="J5" s="82">
        <f>(tblPtf3[[#This Row],[Asset 2]]-E4+tblPtf3[[#This Row],[Div 2]])/E4</f>
        <v>-1.121585111662534E-2</v>
      </c>
      <c r="K5" s="82">
        <f>(tblPtf3[[#This Row],[Asset 3]]-G4+tblPtf3[[#This Row],[Div 3]])/G4</f>
        <v>-8.9738200926189251E-3</v>
      </c>
      <c r="M5" s="7" t="s">
        <v>118</v>
      </c>
      <c r="N5" s="6">
        <f ca="1">_xlfn.COVARIANCE.P(INDIRECT("tblPtf3["&amp;$M5&amp;"]"),INDIRECT("tblPtf3["&amp;N$4&amp;"]"))</f>
        <v>1.5556214487588624E-3</v>
      </c>
      <c r="O5" s="6">
        <f ca="1">_xlfn.COVARIANCE.P(INDIRECT("tblPtf3["&amp;$M5&amp;"]"),INDIRECT("tblPtf3["&amp;O$4&amp;"]"))</f>
        <v>6.8087650957673299E-4</v>
      </c>
      <c r="P5" s="6">
        <f ca="1">_xlfn.COVARIANCE.P(INDIRECT("tblPtf3["&amp;$M5&amp;"]"),INDIRECT("tblPtf3["&amp;P$4&amp;"]"))</f>
        <v>5.8505388678171065E-4</v>
      </c>
      <c r="R5" s="85">
        <v>0.2</v>
      </c>
      <c r="S5" s="85">
        <v>0.2</v>
      </c>
      <c r="T5" s="85">
        <f t="shared" si="0"/>
        <v>0.60000000000000009</v>
      </c>
      <c r="U5" s="86">
        <f t="array" aca="1" ref="U5" ca="1">MMULT(R5:T5,TRANSPOSE($N$11:$P$11))</f>
        <v>3.4863818913756289E-3</v>
      </c>
      <c r="V5" s="93">
        <f t="array" aca="1" ref="V5" ca="1">MMULT(R5:T5,MMULT($N$5:$P$7,TRANSPOSE(R5:T5)))</f>
        <v>8.2534154118224978E-4</v>
      </c>
    </row>
    <row r="6" spans="2:24" x14ac:dyDescent="0.2">
      <c r="B6" s="32">
        <v>41918</v>
      </c>
      <c r="C6">
        <v>44.029998999999997</v>
      </c>
      <c r="E6">
        <v>100.730003</v>
      </c>
      <c r="G6">
        <v>24.27</v>
      </c>
      <c r="I6" s="82">
        <f>(tblPtf3[[#This Row],[Asset 1]]-C5+tblPtf3[[#This Row],[Div 1]])/C5</f>
        <v>-4.4695183336949593E-2</v>
      </c>
      <c r="J6" s="82">
        <f>(tblPtf3[[#This Row],[Asset 2]]-E5+tblPtf3[[#This Row],[Div 2]])/E5</f>
        <v>1.1142340559857236E-2</v>
      </c>
      <c r="K6" s="82">
        <f>(tblPtf3[[#This Row],[Asset 3]]-G5+tblPtf3[[#This Row],[Div 3]])/G5</f>
        <v>-4.4488188976377914E-2</v>
      </c>
      <c r="M6" s="7" t="s">
        <v>119</v>
      </c>
      <c r="N6" s="6">
        <f ca="1">_xlfn.COVARIANCE.P(INDIRECT("tblPtf3["&amp;$M6&amp;"]"),INDIRECT("tblPtf3["&amp;N$4&amp;"]"))</f>
        <v>6.8087650957673299E-4</v>
      </c>
      <c r="O6" s="6">
        <f t="shared" ref="O6:P7" ca="1" si="1">_xlfn.COVARIANCE.P(INDIRECT("tblPtf3["&amp;$M6&amp;"]"),INDIRECT("tblPtf3["&amp;O$4&amp;"]"))</f>
        <v>1.2504577305807835E-3</v>
      </c>
      <c r="P6" s="6">
        <f t="shared" ca="1" si="1"/>
        <v>5.0244520100205128E-4</v>
      </c>
      <c r="R6" s="85">
        <v>0.3</v>
      </c>
      <c r="S6" s="85">
        <v>0.3</v>
      </c>
      <c r="T6" s="85">
        <f t="shared" si="0"/>
        <v>0.39999999999999997</v>
      </c>
      <c r="U6" s="86">
        <f t="array" aca="1" ref="U6" ca="1">MMULT(R6:T6,TRANSPOSE($N$11:$P$11))</f>
        <v>3.4608234583776193E-3</v>
      </c>
      <c r="V6" s="93">
        <f t="array" aca="1" ref="V6" ca="1">MMULT(R6:T6,MMULT($N$5:$P$7,TRANSPOSE(R6:T6)))</f>
        <v>8.1282844434333722E-4</v>
      </c>
    </row>
    <row r="7" spans="2:24" x14ac:dyDescent="0.2">
      <c r="B7" s="32">
        <v>41925</v>
      </c>
      <c r="C7">
        <v>43.630001</v>
      </c>
      <c r="E7">
        <v>97.669998000000007</v>
      </c>
      <c r="G7">
        <v>24.82</v>
      </c>
      <c r="I7" s="82">
        <f>(tblPtf3[[#This Row],[Asset 1]]-C6+tblPtf3[[#This Row],[Div 1]])/C6</f>
        <v>-9.084669749822083E-3</v>
      </c>
      <c r="J7" s="82">
        <f>(tblPtf3[[#This Row],[Asset 2]]-E6+tblPtf3[[#This Row],[Div 2]])/E6</f>
        <v>-3.0378287589249747E-2</v>
      </c>
      <c r="K7" s="82">
        <f>(tblPtf3[[#This Row],[Asset 3]]-G6+tblPtf3[[#This Row],[Div 3]])/G6</f>
        <v>2.2661722290894137E-2</v>
      </c>
      <c r="M7" s="7" t="s">
        <v>131</v>
      </c>
      <c r="N7" s="6">
        <f t="shared" ref="N7:P7" ca="1" si="2">_xlfn.COVARIANCE.P(INDIRECT("tblPtf3["&amp;$M7&amp;"]"),INDIRECT("tblPtf3["&amp;N$4&amp;"]"))</f>
        <v>5.8505388678171065E-4</v>
      </c>
      <c r="O7" s="6">
        <f t="shared" ca="1" si="1"/>
        <v>5.0244520100205128E-4</v>
      </c>
      <c r="P7" s="6">
        <f t="shared" ca="1" si="1"/>
        <v>1.1045235338178396E-3</v>
      </c>
      <c r="R7" s="85">
        <v>0.4</v>
      </c>
      <c r="S7" s="85">
        <v>0.4</v>
      </c>
      <c r="T7" s="85">
        <f t="shared" si="0"/>
        <v>0.19999999999999996</v>
      </c>
      <c r="U7" s="86">
        <f t="array" aca="1" ref="U7" ca="1">MMULT(R7:T7,TRANSPOSE($N$11:$P$11))</f>
        <v>3.4352650253796106E-3</v>
      </c>
      <c r="V7" s="93">
        <f t="array" aca="1" ref="V7" ca="1">MMULT(R7:T7,MMULT($N$5:$P$7,TRANSPOSE(R7:T7)))</f>
        <v>8.8503394715701343E-4</v>
      </c>
    </row>
    <row r="8" spans="2:24" x14ac:dyDescent="0.2">
      <c r="B8" s="32">
        <v>41932</v>
      </c>
      <c r="C8">
        <v>46.130001</v>
      </c>
      <c r="E8">
        <v>105.220001</v>
      </c>
      <c r="G8">
        <v>25.639999</v>
      </c>
      <c r="I8" s="82">
        <f>(tblPtf3[[#This Row],[Asset 1]]-C7+tblPtf3[[#This Row],[Div 1]])/C7</f>
        <v>5.7300021606692148E-2</v>
      </c>
      <c r="J8" s="82">
        <f>(tblPtf3[[#This Row],[Asset 2]]-E7+tblPtf3[[#This Row],[Div 2]])/E7</f>
        <v>7.7301148301446562E-2</v>
      </c>
      <c r="K8" s="82">
        <f>(tblPtf3[[#This Row],[Asset 3]]-G7+tblPtf3[[#This Row],[Div 3]])/G7</f>
        <v>3.3037832393231235E-2</v>
      </c>
      <c r="R8" s="85">
        <v>0.5</v>
      </c>
      <c r="S8" s="85">
        <v>0.5</v>
      </c>
      <c r="T8" s="85">
        <f t="shared" si="0"/>
        <v>0</v>
      </c>
      <c r="U8" s="86">
        <f t="array" aca="1" ref="U8" ca="1">MMULT(R8:T8,TRANSPOSE($N$11:$P$11))</f>
        <v>3.4097065923816014E-3</v>
      </c>
      <c r="V8" s="93">
        <f t="array" aca="1" ref="V8" ca="1">MMULT(R8:T8,MMULT($N$5:$P$7,TRANSPOSE(R8:T8)))</f>
        <v>1.0419580496232781E-3</v>
      </c>
    </row>
    <row r="9" spans="2:24" x14ac:dyDescent="0.2">
      <c r="B9" s="32">
        <v>41939</v>
      </c>
      <c r="C9">
        <v>46.950001</v>
      </c>
      <c r="E9">
        <v>108</v>
      </c>
      <c r="G9">
        <v>25.809999000000001</v>
      </c>
      <c r="I9" s="82">
        <f>(tblPtf3[[#This Row],[Asset 1]]-C8+tblPtf3[[#This Row],[Div 1]])/C8</f>
        <v>1.7775850470933229E-2</v>
      </c>
      <c r="J9" s="82">
        <f>(tblPtf3[[#This Row],[Asset 2]]-E8+tblPtf3[[#This Row],[Div 2]])/E8</f>
        <v>2.6420822786344621E-2</v>
      </c>
      <c r="K9" s="82">
        <f>(tblPtf3[[#This Row],[Asset 3]]-G8+tblPtf3[[#This Row],[Div 3]])/G8</f>
        <v>6.630265469199188E-3</v>
      </c>
      <c r="N9" s="90"/>
      <c r="R9" s="85">
        <v>0.6</v>
      </c>
      <c r="S9" s="85">
        <v>0.2</v>
      </c>
      <c r="T9" s="85">
        <f t="shared" si="0"/>
        <v>0.2</v>
      </c>
      <c r="U9" s="86">
        <f t="array" aca="1" ref="U9" ca="1">MMULT(R9:T9,TRANSPOSE($N$11:$P$11))</f>
        <v>3.4176136672870831E-3</v>
      </c>
      <c r="V9" s="93">
        <f t="array" aca="1" ref="V9" ca="1">MMULT(R9:T9,MMULT($N$5:$P$7,TRANSPOSE(R9:T9)))</f>
        <v>9.9824188333532586E-4</v>
      </c>
    </row>
    <row r="10" spans="2:24" x14ac:dyDescent="0.2">
      <c r="B10" s="32">
        <v>41946</v>
      </c>
      <c r="C10">
        <v>48.68</v>
      </c>
      <c r="E10">
        <v>109.010002</v>
      </c>
      <c r="G10">
        <v>26.41</v>
      </c>
      <c r="I10" s="82">
        <f>(tblPtf3[[#This Row],[Asset 1]]-C9+tblPtf3[[#This Row],[Div 1]])/C9</f>
        <v>3.6847688246055617E-2</v>
      </c>
      <c r="J10" s="82">
        <f>(tblPtf3[[#This Row],[Asset 2]]-E9+tblPtf3[[#This Row],[Div 2]])/E9</f>
        <v>9.3518703703703715E-3</v>
      </c>
      <c r="K10" s="82">
        <f>(tblPtf3[[#This Row],[Asset 3]]-G9+tblPtf3[[#This Row],[Div 3]])/G9</f>
        <v>2.3246843209873774E-2</v>
      </c>
      <c r="N10" s="94" t="s">
        <v>118</v>
      </c>
      <c r="O10" s="94" t="s">
        <v>119</v>
      </c>
      <c r="P10" s="94" t="s">
        <v>131</v>
      </c>
      <c r="R10" s="85">
        <v>0.7</v>
      </c>
      <c r="S10" s="85">
        <v>0.1</v>
      </c>
      <c r="T10" s="85">
        <f t="shared" si="0"/>
        <v>0.20000000000000004</v>
      </c>
      <c r="U10" s="86">
        <f t="array" aca="1" ref="U10" ca="1">MMULT(R10:T10,TRANSPOSE($N$11:$P$11))</f>
        <v>3.4087879882408198E-3</v>
      </c>
      <c r="V10" s="93">
        <f t="array" aca="1" ref="V10" ca="1">MMULT(R10:T10,MMULT($N$5:$P$7,TRANSPOSE(R10:T10)))</f>
        <v>1.0981756362300676E-3</v>
      </c>
    </row>
    <row r="11" spans="2:24" x14ac:dyDescent="0.2">
      <c r="B11" s="32">
        <v>41953</v>
      </c>
      <c r="C11">
        <v>49.580002</v>
      </c>
      <c r="E11">
        <v>114.18</v>
      </c>
      <c r="F11">
        <v>0.47</v>
      </c>
      <c r="G11">
        <v>26.459999</v>
      </c>
      <c r="I11" s="82">
        <f>(tblPtf3[[#This Row],[Asset 1]]-C10+tblPtf3[[#This Row],[Div 1]])/C10</f>
        <v>1.8488126540673801E-2</v>
      </c>
      <c r="J11" s="82">
        <f>(tblPtf3[[#This Row],[Asset 2]]-E10+tblPtf3[[#This Row],[Div 2]])/E10</f>
        <v>5.1738353330183465E-2</v>
      </c>
      <c r="K11" s="82">
        <f>(tblPtf3[[#This Row],[Asset 3]]-G10+tblPtf3[[#This Row],[Div 3]])/G10</f>
        <v>1.8931843998485302E-3</v>
      </c>
      <c r="M11" s="68" t="s">
        <v>120</v>
      </c>
      <c r="N11" s="91">
        <f ca="1">AVERAGE(INDIRECT("tblPtf3["&amp;N10&amp;"]"))</f>
        <v>3.3655781971502837E-3</v>
      </c>
      <c r="O11" s="91">
        <f t="shared" ref="O11:P11" ca="1" si="3">AVERAGE(INDIRECT("tblPtf3["&amp;O10&amp;"]"))</f>
        <v>3.4538349876129196E-3</v>
      </c>
      <c r="P11" s="91">
        <f t="shared" ca="1" si="3"/>
        <v>3.5374987573716468E-3</v>
      </c>
      <c r="R11" s="85">
        <v>0.8</v>
      </c>
      <c r="S11" s="85">
        <v>0</v>
      </c>
      <c r="T11" s="85">
        <f t="shared" si="0"/>
        <v>0.19999999999999996</v>
      </c>
      <c r="U11" s="86">
        <f t="array" aca="1" ref="U11" ca="1">MMULT(R11:T11,TRANSPOSE($N$11:$P$11))</f>
        <v>3.3999623091945565E-3</v>
      </c>
      <c r="V11" s="93">
        <f t="array" aca="1" ref="V11" ca="1">MMULT(R11:T11,MMULT($N$5:$P$7,TRANSPOSE(R11:T11)))</f>
        <v>1.2269959123285331E-3</v>
      </c>
    </row>
    <row r="12" spans="2:24" x14ac:dyDescent="0.2">
      <c r="B12" s="32">
        <v>41960</v>
      </c>
      <c r="C12">
        <v>47.98</v>
      </c>
      <c r="D12">
        <v>0.31</v>
      </c>
      <c r="E12">
        <v>116.470001</v>
      </c>
      <c r="G12">
        <v>26.99</v>
      </c>
      <c r="I12" s="82">
        <f>(tblPtf3[[#This Row],[Asset 1]]-C11+tblPtf3[[#This Row],[Div 1]])/C11</f>
        <v>-2.6018595158588405E-2</v>
      </c>
      <c r="J12" s="82">
        <f>(tblPtf3[[#This Row],[Asset 2]]-E11+tblPtf3[[#This Row],[Div 2]])/E11</f>
        <v>2.0056060606060511E-2</v>
      </c>
      <c r="K12" s="82">
        <f>(tblPtf3[[#This Row],[Asset 3]]-G11+tblPtf3[[#This Row],[Div 3]])/G11</f>
        <v>2.0030272865845484E-2</v>
      </c>
      <c r="M12" s="68" t="s">
        <v>41</v>
      </c>
      <c r="N12" s="70">
        <f ca="1">_xlfn.STDEV.P(INDIRECT("tblPtf3["&amp;N10&amp;"]"))</f>
        <v>3.9441367227301627E-2</v>
      </c>
      <c r="O12" s="70">
        <f t="shared" ref="O12:P12" ca="1" si="4">_xlfn.STDEV.P(INDIRECT("tblPtf3["&amp;O10&amp;"]"))</f>
        <v>3.5361811754784048E-2</v>
      </c>
      <c r="P12" s="70">
        <f t="shared" ca="1" si="4"/>
        <v>3.3234372776055815E-2</v>
      </c>
      <c r="R12" s="85">
        <v>0.9</v>
      </c>
      <c r="S12" s="85">
        <v>0.1</v>
      </c>
      <c r="T12" s="85">
        <f t="shared" si="0"/>
        <v>0</v>
      </c>
      <c r="U12" s="86">
        <f t="array" aca="1" ref="U12" ca="1">MMULT(R12:T12,TRANSPOSE($N$11:$P$11))</f>
        <v>3.3744038761965474E-3</v>
      </c>
      <c r="V12" s="93">
        <f t="array" aca="1" ref="V12" ca="1">MMULT(R12:T12,MMULT($N$5:$P$7,TRANSPOSE(R12:T12)))</f>
        <v>1.3951157225242984E-3</v>
      </c>
    </row>
    <row r="13" spans="2:24" x14ac:dyDescent="0.2">
      <c r="B13" s="32">
        <v>41967</v>
      </c>
      <c r="C13">
        <v>47.810001</v>
      </c>
      <c r="E13">
        <v>118.93</v>
      </c>
      <c r="G13">
        <v>26.49</v>
      </c>
      <c r="I13" s="82">
        <f>(tblPtf3[[#This Row],[Asset 1]]-C12+tblPtf3[[#This Row],[Div 1]])/C12</f>
        <v>-3.5431221342225329E-3</v>
      </c>
      <c r="J13" s="82">
        <f>(tblPtf3[[#This Row],[Asset 2]]-E12+tblPtf3[[#This Row],[Div 2]])/E12</f>
        <v>2.112131002729201E-2</v>
      </c>
      <c r="K13" s="82">
        <f>(tblPtf3[[#This Row],[Asset 3]]-G12+tblPtf3[[#This Row],[Div 3]])/G12</f>
        <v>-1.8525379770285292E-2</v>
      </c>
      <c r="M13" s="68" t="s">
        <v>138</v>
      </c>
      <c r="N13" s="70">
        <f ca="1">N12^2</f>
        <v>1.5556214487588628E-3</v>
      </c>
      <c r="O13" s="70">
        <f t="shared" ref="O13:P13" ca="1" si="5">O12^2</f>
        <v>1.2504577305807833E-3</v>
      </c>
      <c r="P13" s="70">
        <f t="shared" ca="1" si="5"/>
        <v>1.1045235338178398E-3</v>
      </c>
      <c r="R13" s="85">
        <v>1</v>
      </c>
      <c r="S13" s="85">
        <v>0</v>
      </c>
      <c r="T13" s="85">
        <f t="shared" si="0"/>
        <v>0</v>
      </c>
      <c r="U13" s="86">
        <f t="array" aca="1" ref="U13" ca="1">MMULT(R13:T13,TRANSPOSE($N$11:$P$11))</f>
        <v>3.3655781971502837E-3</v>
      </c>
      <c r="V13" s="93">
        <f t="array" aca="1" ref="V13" ca="1">MMULT(R13:T13,MMULT($N$5:$P$7,TRANSPOSE(R13:T13)))</f>
        <v>1.5556214487588624E-3</v>
      </c>
    </row>
    <row r="14" spans="2:24" x14ac:dyDescent="0.2">
      <c r="B14" s="32">
        <v>41974</v>
      </c>
      <c r="C14">
        <v>48.419998</v>
      </c>
      <c r="E14">
        <v>115</v>
      </c>
      <c r="G14">
        <v>26.01</v>
      </c>
      <c r="I14" s="82">
        <f>(tblPtf3[[#This Row],[Asset 1]]-C13+tblPtf3[[#This Row],[Div 1]])/C13</f>
        <v>1.2758774048132731E-2</v>
      </c>
      <c r="J14" s="82">
        <f>(tblPtf3[[#This Row],[Asset 2]]-E13+tblPtf3[[#This Row],[Div 2]])/E13</f>
        <v>-3.304464811233504E-2</v>
      </c>
      <c r="K14" s="82">
        <f>(tblPtf3[[#This Row],[Asset 3]]-G13+tblPtf3[[#This Row],[Div 3]])/G13</f>
        <v>-1.8120045300113134E-2</v>
      </c>
      <c r="R14" s="85">
        <v>0</v>
      </c>
      <c r="S14" s="85">
        <v>1</v>
      </c>
      <c r="T14" s="85">
        <f t="shared" si="0"/>
        <v>0</v>
      </c>
      <c r="U14" s="86">
        <f t="array" aca="1" ref="U14" ca="1">MMULT(R14:T14,TRANSPOSE($N$11:$P$11))</f>
        <v>3.4538349876129196E-3</v>
      </c>
      <c r="V14" s="93">
        <f t="array" aca="1" ref="V14" ca="1">MMULT(R14:T14,MMULT($N$5:$P$7,TRANSPOSE(R14:T14)))</f>
        <v>1.2504577305807835E-3</v>
      </c>
    </row>
    <row r="15" spans="2:24" x14ac:dyDescent="0.2">
      <c r="B15" s="32">
        <v>41981</v>
      </c>
      <c r="C15">
        <v>46.950001</v>
      </c>
      <c r="E15">
        <v>109.730003</v>
      </c>
      <c r="G15">
        <v>24.889999</v>
      </c>
      <c r="I15" s="82">
        <f>(tblPtf3[[#This Row],[Asset 1]]-C14+tblPtf3[[#This Row],[Div 1]])/C14</f>
        <v>-3.0359294934295521E-2</v>
      </c>
      <c r="J15" s="82">
        <f>(tblPtf3[[#This Row],[Asset 2]]-E14+tblPtf3[[#This Row],[Div 2]])/E14</f>
        <v>-4.5826060869565248E-2</v>
      </c>
      <c r="K15" s="82">
        <f>(tblPtf3[[#This Row],[Asset 3]]-G14+tblPtf3[[#This Row],[Div 3]])/G14</f>
        <v>-4.3060399846213071E-2</v>
      </c>
      <c r="N15" s="2" t="s">
        <v>137</v>
      </c>
      <c r="R15" s="85">
        <v>0.05</v>
      </c>
      <c r="S15" s="85">
        <v>0.9</v>
      </c>
      <c r="T15" s="85">
        <f t="shared" si="0"/>
        <v>4.9999999999999933E-2</v>
      </c>
      <c r="U15" s="86">
        <f t="array" aca="1" ref="U15" ca="1">MMULT(R15:T15,TRANSPOSE($N$11:$P$11))</f>
        <v>3.4536053365777242E-3</v>
      </c>
      <c r="V15" s="93">
        <f t="array" aca="1" ref="V15" ca="1">MMULT(R15:T15,MMULT($N$5:$P$7,TRANSPOSE(R15:T15)))</f>
        <v>1.1289453476128757E-3</v>
      </c>
    </row>
    <row r="16" spans="2:24" x14ac:dyDescent="0.2">
      <c r="B16" s="32">
        <v>41988</v>
      </c>
      <c r="C16">
        <v>47.66</v>
      </c>
      <c r="E16">
        <v>111.779999</v>
      </c>
      <c r="G16">
        <v>25.620000999999998</v>
      </c>
      <c r="I16" s="82">
        <f>(tblPtf3[[#This Row],[Asset 1]]-C15+tblPtf3[[#This Row],[Div 1]])/C15</f>
        <v>1.5122449092173529E-2</v>
      </c>
      <c r="J16" s="82">
        <f>(tblPtf3[[#This Row],[Asset 2]]-E15+tblPtf3[[#This Row],[Div 2]])/E15</f>
        <v>1.8682183030652132E-2</v>
      </c>
      <c r="K16" s="82">
        <f>(tblPtf3[[#This Row],[Asset 3]]-G15+tblPtf3[[#This Row],[Div 3]])/G15</f>
        <v>2.9329129342271124E-2</v>
      </c>
      <c r="N16" s="7" t="s">
        <v>118</v>
      </c>
      <c r="O16" s="7" t="s">
        <v>119</v>
      </c>
      <c r="P16" s="7" t="s">
        <v>131</v>
      </c>
      <c r="R16" s="85">
        <v>0.1</v>
      </c>
      <c r="S16" s="85">
        <v>0.8</v>
      </c>
      <c r="T16" s="85">
        <f t="shared" si="0"/>
        <v>9.9999999999999978E-2</v>
      </c>
      <c r="U16" s="86">
        <f t="array" aca="1" ref="U16" ca="1">MMULT(R16:T16,TRANSPOSE($N$11:$P$11))</f>
        <v>3.4533756855425288E-3</v>
      </c>
      <c r="V16" s="93">
        <f t="array" aca="1" ref="V16" ca="1">MMULT(R16:T16,MMULT($N$5:$P$7,TRANSPOSE(R16:T16)))</f>
        <v>1.0279269488257083E-3</v>
      </c>
    </row>
    <row r="17" spans="2:22" x14ac:dyDescent="0.2">
      <c r="B17" s="32">
        <v>41995</v>
      </c>
      <c r="C17">
        <v>47.880001</v>
      </c>
      <c r="E17">
        <v>113.989998</v>
      </c>
      <c r="G17">
        <v>25.780000999999999</v>
      </c>
      <c r="H17">
        <v>0.23</v>
      </c>
      <c r="I17" s="82">
        <f>(tblPtf3[[#This Row],[Asset 1]]-C16+tblPtf3[[#This Row],[Div 1]])/C16</f>
        <v>4.6160511959715371E-3</v>
      </c>
      <c r="J17" s="82">
        <f>(tblPtf3[[#This Row],[Asset 2]]-E16+tblPtf3[[#This Row],[Div 2]])/E16</f>
        <v>1.977096993890648E-2</v>
      </c>
      <c r="K17" s="82">
        <f>(tblPtf3[[#This Row],[Asset 3]]-G16+tblPtf3[[#This Row],[Div 3]])/G16</f>
        <v>1.522248184143319E-2</v>
      </c>
      <c r="M17" s="7" t="s">
        <v>118</v>
      </c>
      <c r="N17" s="6">
        <f ca="1">CORREL(INDIRECT("tblPtf3["&amp;$M17&amp;"]"),INDIRECT("tblPtf3["&amp;N$16&amp;"]"))</f>
        <v>1.0000000000000002</v>
      </c>
      <c r="O17" s="6">
        <f ca="1">CORREL(INDIRECT("tblPtf3["&amp;$M17&amp;"]"),INDIRECT("tblPtf3["&amp;O$16&amp;"]"))</f>
        <v>0.48818213456559584</v>
      </c>
      <c r="P17" s="6">
        <f ca="1">CORREL(INDIRECT("tblPtf3["&amp;$M17&amp;"]"),INDIRECT("tblPtf3["&amp;P$16&amp;"]"))</f>
        <v>0.44633035140888827</v>
      </c>
      <c r="R17" s="85">
        <v>0.15</v>
      </c>
      <c r="S17" s="85">
        <v>0.7</v>
      </c>
      <c r="T17" s="85">
        <f t="shared" si="0"/>
        <v>0.15000000000000002</v>
      </c>
      <c r="U17" s="86">
        <f t="array" aca="1" ref="U17" ca="1">MMULT(R17:T17,TRANSPOSE($N$11:$P$11))</f>
        <v>3.453146034507333E-3</v>
      </c>
      <c r="V17" s="93">
        <f t="array" aca="1" ref="V17" ca="1">MMULT(R17:T17,MMULT($N$5:$P$7,TRANSPOSE(R17:T17)))</f>
        <v>9.4740253421928152E-4</v>
      </c>
    </row>
    <row r="18" spans="2:22" x14ac:dyDescent="0.2">
      <c r="B18" s="32">
        <v>42002</v>
      </c>
      <c r="C18">
        <v>46.759998000000003</v>
      </c>
      <c r="E18">
        <v>109.33000199999999</v>
      </c>
      <c r="G18">
        <v>25.059999000000001</v>
      </c>
      <c r="I18" s="82">
        <f>(tblPtf3[[#This Row],[Asset 1]]-C17+tblPtf3[[#This Row],[Div 1]])/C17</f>
        <v>-2.3391875033586508E-2</v>
      </c>
      <c r="J18" s="82">
        <f>(tblPtf3[[#This Row],[Asset 2]]-E17+tblPtf3[[#This Row],[Div 2]])/E17</f>
        <v>-4.088074464217472E-2</v>
      </c>
      <c r="K18" s="82">
        <f>(tblPtf3[[#This Row],[Asset 3]]-G17+tblPtf3[[#This Row],[Div 3]])/G17</f>
        <v>-2.7928703338684798E-2</v>
      </c>
      <c r="M18" s="7" t="s">
        <v>119</v>
      </c>
      <c r="N18" s="6">
        <f ca="1">CORREL(INDIRECT("tblPtf3["&amp;$M18&amp;"]"),INDIRECT("tblPtf3["&amp;N$16&amp;"]"))</f>
        <v>0.48818213456559584</v>
      </c>
      <c r="O18" s="6">
        <f ca="1">CORREL(INDIRECT("tblPtf3["&amp;$M18&amp;"]"),INDIRECT("tblPtf3["&amp;O$16&amp;"]"))</f>
        <v>0.99999999999999978</v>
      </c>
      <c r="P18" s="6">
        <f ca="1">CORREL(INDIRECT("tblPtf3["&amp;$M18&amp;"]"),INDIRECT("tblPtf3["&amp;P$16&amp;"]"))</f>
        <v>0.42753011119789081</v>
      </c>
      <c r="R18" s="85">
        <v>0.2</v>
      </c>
      <c r="S18" s="85">
        <v>0.6</v>
      </c>
      <c r="T18" s="85">
        <f t="shared" si="0"/>
        <v>0.20000000000000007</v>
      </c>
      <c r="U18" s="86">
        <f t="array" aca="1" ref="U18" ca="1">MMULT(R18:T18,TRANSPOSE($N$11:$P$11))</f>
        <v>3.452916383472138E-3</v>
      </c>
      <c r="V18" s="93">
        <f t="array" aca="1" ref="V18" ca="1">MMULT(R18:T18,MMULT($N$5:$P$7,TRANSPOSE(R18:T18)))</f>
        <v>8.8737210379359523E-4</v>
      </c>
    </row>
    <row r="19" spans="2:22" x14ac:dyDescent="0.2">
      <c r="B19" s="32">
        <v>42009</v>
      </c>
      <c r="C19">
        <v>47.189999</v>
      </c>
      <c r="E19">
        <v>112.010002</v>
      </c>
      <c r="G19">
        <v>24.030000999999999</v>
      </c>
      <c r="I19" s="82">
        <f>(tblPtf3[[#This Row],[Asset 1]]-C18+tblPtf3[[#This Row],[Div 1]])/C18</f>
        <v>9.1959157055566416E-3</v>
      </c>
      <c r="J19" s="82">
        <f>(tblPtf3[[#This Row],[Asset 2]]-E18+tblPtf3[[#This Row],[Div 2]])/E18</f>
        <v>2.451294201933708E-2</v>
      </c>
      <c r="K19" s="82">
        <f>(tblPtf3[[#This Row],[Asset 3]]-G18+tblPtf3[[#This Row],[Div 3]])/G18</f>
        <v>-4.1101278575470121E-2</v>
      </c>
      <c r="M19" s="7" t="s">
        <v>131</v>
      </c>
      <c r="N19" s="6">
        <f ca="1">CORREL(INDIRECT("tblPtf3["&amp;$M19&amp;"]"),INDIRECT("tblPtf3["&amp;N$16&amp;"]"))</f>
        <v>0.44633035140888827</v>
      </c>
      <c r="O19" s="6">
        <f ca="1">CORREL(INDIRECT("tblPtf3["&amp;$M19&amp;"]"),INDIRECT("tblPtf3["&amp;O$16&amp;"]"))</f>
        <v>0.42753011119789081</v>
      </c>
      <c r="P19" s="6">
        <f ca="1">CORREL(INDIRECT("tblPtf3["&amp;$M19&amp;"]"),INDIRECT("tblPtf3["&amp;P$16&amp;"]"))</f>
        <v>1.0000000000000002</v>
      </c>
      <c r="R19" s="85">
        <v>0.25</v>
      </c>
      <c r="S19" s="85">
        <v>0.5</v>
      </c>
      <c r="T19" s="85">
        <f t="shared" si="0"/>
        <v>0.25</v>
      </c>
      <c r="U19" s="86">
        <f t="array" aca="1" ref="U19" ca="1">MMULT(R19:T19,TRANSPOSE($N$11:$P$11))</f>
        <v>3.4526867324369422E-3</v>
      </c>
      <c r="V19" s="93">
        <f t="array" aca="1" ref="V19" ca="1">MMULT(R19:T19,MMULT($N$5:$P$7,TRANSPOSE(R19:T19)))</f>
        <v>8.4783565754864966E-4</v>
      </c>
    </row>
    <row r="20" spans="2:22" x14ac:dyDescent="0.2">
      <c r="B20" s="32">
        <v>42016</v>
      </c>
      <c r="C20">
        <v>46.240001999999997</v>
      </c>
      <c r="E20">
        <v>105.989998</v>
      </c>
      <c r="G20">
        <v>23.59</v>
      </c>
      <c r="I20" s="82">
        <f>(tblPtf3[[#This Row],[Asset 1]]-C19+tblPtf3[[#This Row],[Div 1]])/C19</f>
        <v>-2.0131320621558039E-2</v>
      </c>
      <c r="J20" s="82">
        <f>(tblPtf3[[#This Row],[Asset 2]]-E19+tblPtf3[[#This Row],[Div 2]])/E19</f>
        <v>-5.3745236072757149E-2</v>
      </c>
      <c r="K20" s="82">
        <f>(tblPtf3[[#This Row],[Asset 3]]-G19+tblPtf3[[#This Row],[Div 3]])/G19</f>
        <v>-1.8310486129401275E-2</v>
      </c>
      <c r="R20" s="85">
        <v>0.3</v>
      </c>
      <c r="S20" s="85">
        <v>0.4</v>
      </c>
      <c r="T20" s="85">
        <f t="shared" si="0"/>
        <v>0.29999999999999993</v>
      </c>
      <c r="U20" s="86">
        <f t="array" aca="1" ref="U20" ca="1">MMULT(R20:T20,TRANSPOSE($N$11:$P$11))</f>
        <v>3.4524570814017468E-3</v>
      </c>
      <c r="V20" s="93">
        <f t="array" aca="1" ref="V20" ca="1">MMULT(R20:T20,MMULT($N$5:$P$7,TRANSPOSE(R20:T20)))</f>
        <v>8.2879319548444469E-4</v>
      </c>
    </row>
    <row r="21" spans="2:22" x14ac:dyDescent="0.2">
      <c r="B21" s="32">
        <v>42024</v>
      </c>
      <c r="C21">
        <v>47.18</v>
      </c>
      <c r="E21">
        <v>112.980003</v>
      </c>
      <c r="G21">
        <v>24.48</v>
      </c>
      <c r="I21" s="82">
        <f>(tblPtf3[[#This Row],[Asset 1]]-C20+tblPtf3[[#This Row],[Div 1]])/C20</f>
        <v>2.032867559132032E-2</v>
      </c>
      <c r="J21" s="82">
        <f>(tblPtf3[[#This Row],[Asset 2]]-E20+tblPtf3[[#This Row],[Div 2]])/E20</f>
        <v>6.5949666307192456E-2</v>
      </c>
      <c r="K21" s="82">
        <f>(tblPtf3[[#This Row],[Asset 3]]-G20+tblPtf3[[#This Row],[Div 3]])/G20</f>
        <v>3.7727850784230632E-2</v>
      </c>
      <c r="R21" s="85">
        <v>0.35</v>
      </c>
      <c r="S21" s="85">
        <v>0.3</v>
      </c>
      <c r="T21" s="85">
        <f t="shared" si="0"/>
        <v>0.35000000000000003</v>
      </c>
      <c r="U21" s="86">
        <f t="array" aca="1" ref="U21" ca="1">MMULT(R21:T21,TRANSPOSE($N$11:$P$11))</f>
        <v>3.4522274303665518E-3</v>
      </c>
      <c r="V21" s="93">
        <f t="array" aca="1" ref="V21" ca="1">MMULT(R21:T21,MMULT($N$5:$P$7,TRANSPOSE(R21:T21)))</f>
        <v>8.3024471760098032E-4</v>
      </c>
    </row>
    <row r="22" spans="2:22" x14ac:dyDescent="0.2">
      <c r="B22" s="32">
        <v>42030</v>
      </c>
      <c r="C22">
        <v>40.400002000000001</v>
      </c>
      <c r="E22">
        <v>117.160004</v>
      </c>
      <c r="G22">
        <v>23.889999</v>
      </c>
      <c r="I22" s="82">
        <f>(tblPtf3[[#This Row],[Asset 1]]-C21+tblPtf3[[#This Row],[Div 1]])/C21</f>
        <v>-0.14370491733785501</v>
      </c>
      <c r="J22" s="82">
        <f>(tblPtf3[[#This Row],[Asset 2]]-E21+tblPtf3[[#This Row],[Div 2]])/E21</f>
        <v>3.6997706576446139E-2</v>
      </c>
      <c r="K22" s="82">
        <f>(tblPtf3[[#This Row],[Asset 3]]-G21+tblPtf3[[#This Row],[Div 3]])/G21</f>
        <v>-2.4101348039215723E-2</v>
      </c>
      <c r="R22" s="85">
        <v>0.4</v>
      </c>
      <c r="S22" s="85">
        <v>0.2</v>
      </c>
      <c r="T22" s="85">
        <f t="shared" si="0"/>
        <v>0.39999999999999997</v>
      </c>
      <c r="U22" s="86">
        <f t="array" aca="1" ref="U22" ca="1">MMULT(R22:T22,TRANSPOSE($N$11:$P$11))</f>
        <v>3.451997779331356E-3</v>
      </c>
      <c r="V22" s="93">
        <f t="array" aca="1" ref="V22" ca="1">MMULT(R22:T22,MMULT($N$5:$P$7,TRANSPOSE(R22:T22)))</f>
        <v>8.5219022389825655E-4</v>
      </c>
    </row>
    <row r="23" spans="2:22" x14ac:dyDescent="0.2">
      <c r="B23" s="32">
        <v>42037</v>
      </c>
      <c r="C23">
        <v>42.41</v>
      </c>
      <c r="E23">
        <v>118.93</v>
      </c>
      <c r="G23">
        <v>24.52</v>
      </c>
      <c r="I23" s="82">
        <f>(tblPtf3[[#This Row],[Asset 1]]-C22+tblPtf3[[#This Row],[Div 1]])/C22</f>
        <v>4.9752423279582902E-2</v>
      </c>
      <c r="J23" s="82">
        <f>(tblPtf3[[#This Row],[Asset 2]]-E22+tblPtf3[[#This Row],[Div 2]])/E22</f>
        <v>1.5107510580146498E-2</v>
      </c>
      <c r="K23" s="82">
        <f>(tblPtf3[[#This Row],[Asset 3]]-G22+tblPtf3[[#This Row],[Div 3]])/G22</f>
        <v>2.637090943369232E-2</v>
      </c>
      <c r="R23" s="85">
        <v>0.45</v>
      </c>
      <c r="S23" s="85">
        <v>0.1</v>
      </c>
      <c r="T23" s="85">
        <f t="shared" si="0"/>
        <v>0.45000000000000007</v>
      </c>
      <c r="U23" s="86">
        <f t="array" aca="1" ref="U23" ca="1">MMULT(R23:T23,TRANSPOSE($N$11:$P$11))</f>
        <v>3.451768128296161E-3</v>
      </c>
      <c r="V23" s="93">
        <f t="array" aca="1" ref="V23" ca="1">MMULT(R23:T23,MMULT($N$5:$P$7,TRANSPOSE(R23:T23)))</f>
        <v>8.946297143762735E-4</v>
      </c>
    </row>
    <row r="24" spans="2:22" x14ac:dyDescent="0.2">
      <c r="B24" s="32">
        <v>42044</v>
      </c>
      <c r="C24">
        <v>43.869999</v>
      </c>
      <c r="E24">
        <v>127.08000199999999</v>
      </c>
      <c r="F24">
        <v>0.47</v>
      </c>
      <c r="G24">
        <v>25.15</v>
      </c>
      <c r="I24" s="82">
        <f>(tblPtf3[[#This Row],[Asset 1]]-C23+tblPtf3[[#This Row],[Div 1]])/C23</f>
        <v>3.4425819382221258E-2</v>
      </c>
      <c r="J24" s="82">
        <f>(tblPtf3[[#This Row],[Asset 2]]-E23+tblPtf3[[#This Row],[Div 2]])/E23</f>
        <v>7.2479626671150987E-2</v>
      </c>
      <c r="K24" s="82">
        <f>(tblPtf3[[#This Row],[Asset 3]]-G23+tblPtf3[[#This Row],[Div 3]])/G23</f>
        <v>2.5693311582381688E-2</v>
      </c>
    </row>
    <row r="25" spans="2:22" x14ac:dyDescent="0.2">
      <c r="B25" s="32">
        <v>42052</v>
      </c>
      <c r="C25">
        <v>43.860000999999997</v>
      </c>
      <c r="D25">
        <v>0.31</v>
      </c>
      <c r="E25">
        <v>129.5</v>
      </c>
      <c r="G25">
        <v>25.209999</v>
      </c>
      <c r="I25" s="82">
        <f>(tblPtf3[[#This Row],[Asset 1]]-C24+tblPtf3[[#This Row],[Div 1]])/C24</f>
        <v>6.8384318859910833E-3</v>
      </c>
      <c r="J25" s="82">
        <f>(tblPtf3[[#This Row],[Asset 2]]-E24+tblPtf3[[#This Row],[Div 2]])/E24</f>
        <v>1.9043106404735555E-2</v>
      </c>
      <c r="K25" s="82">
        <f>(tblPtf3[[#This Row],[Asset 3]]-G24+tblPtf3[[#This Row],[Div 3]])/G24</f>
        <v>2.3856461232604868E-3</v>
      </c>
    </row>
    <row r="26" spans="2:22" x14ac:dyDescent="0.2">
      <c r="B26" s="32">
        <v>42058</v>
      </c>
      <c r="C26">
        <v>43.849997999999999</v>
      </c>
      <c r="E26">
        <v>128.46000699999999</v>
      </c>
      <c r="G26">
        <v>25.99</v>
      </c>
      <c r="H26">
        <v>0.23</v>
      </c>
      <c r="I26" s="82">
        <f>(tblPtf3[[#This Row],[Asset 1]]-C25+tblPtf3[[#This Row],[Div 1]])/C25</f>
        <v>-2.2806657026746402E-4</v>
      </c>
      <c r="J26" s="82">
        <f>(tblPtf3[[#This Row],[Asset 2]]-E25+tblPtf3[[#This Row],[Div 2]])/E25</f>
        <v>-8.0308339768340523E-3</v>
      </c>
      <c r="K26" s="82">
        <f>(tblPtf3[[#This Row],[Asset 3]]-G25+tblPtf3[[#This Row],[Div 3]])/G25</f>
        <v>4.0063508134212882E-2</v>
      </c>
    </row>
    <row r="27" spans="2:22" x14ac:dyDescent="0.2">
      <c r="B27" s="32">
        <v>42065</v>
      </c>
      <c r="C27">
        <v>42.360000999999997</v>
      </c>
      <c r="E27">
        <v>126.599998</v>
      </c>
      <c r="G27">
        <v>25.42</v>
      </c>
      <c r="I27" s="82">
        <f>(tblPtf3[[#This Row],[Asset 1]]-C26+tblPtf3[[#This Row],[Div 1]])/C26</f>
        <v>-3.3979408619357346E-2</v>
      </c>
      <c r="J27" s="82">
        <f>(tblPtf3[[#This Row],[Asset 2]]-E26+tblPtf3[[#This Row],[Div 2]])/E26</f>
        <v>-1.4479284591662766E-2</v>
      </c>
      <c r="K27" s="82">
        <f>(tblPtf3[[#This Row],[Asset 3]]-G26+tblPtf3[[#This Row],[Div 3]])/G26</f>
        <v>-2.1931512120046046E-2</v>
      </c>
    </row>
    <row r="28" spans="2:22" x14ac:dyDescent="0.2">
      <c r="B28" s="32">
        <v>42072</v>
      </c>
      <c r="C28">
        <v>41.380001</v>
      </c>
      <c r="E28">
        <v>123.589996</v>
      </c>
      <c r="G28">
        <v>25.040001</v>
      </c>
      <c r="I28" s="82">
        <f>(tblPtf3[[#This Row],[Asset 1]]-C27+tblPtf3[[#This Row],[Div 1]])/C27</f>
        <v>-2.3135032503894346E-2</v>
      </c>
      <c r="J28" s="82">
        <f>(tblPtf3[[#This Row],[Asset 2]]-E27+tblPtf3[[#This Row],[Div 2]])/E27</f>
        <v>-2.3775687579394748E-2</v>
      </c>
      <c r="K28" s="82">
        <f>(tblPtf3[[#This Row],[Asset 3]]-G27+tblPtf3[[#This Row],[Div 3]])/G27</f>
        <v>-1.4948819826908006E-2</v>
      </c>
    </row>
    <row r="29" spans="2:22" x14ac:dyDescent="0.2">
      <c r="B29" s="32">
        <v>42079</v>
      </c>
      <c r="C29">
        <v>42.880001</v>
      </c>
      <c r="E29">
        <v>125.900002</v>
      </c>
      <c r="G29">
        <v>25.4</v>
      </c>
      <c r="I29" s="82">
        <f>(tblPtf3[[#This Row],[Asset 1]]-C28+tblPtf3[[#This Row],[Div 1]])/C28</f>
        <v>3.6249394967390165E-2</v>
      </c>
      <c r="J29" s="82">
        <f>(tblPtf3[[#This Row],[Asset 2]]-E28+tblPtf3[[#This Row],[Div 2]])/E28</f>
        <v>1.8690881744182607E-2</v>
      </c>
      <c r="K29" s="82">
        <f>(tblPtf3[[#This Row],[Asset 3]]-G28+tblPtf3[[#This Row],[Div 3]])/G28</f>
        <v>1.4376956294849924E-2</v>
      </c>
    </row>
    <row r="30" spans="2:22" x14ac:dyDescent="0.2">
      <c r="B30" s="32">
        <v>42086</v>
      </c>
      <c r="C30">
        <v>40.970001000000003</v>
      </c>
      <c r="E30">
        <v>123.25</v>
      </c>
      <c r="G30">
        <v>24.860001</v>
      </c>
      <c r="I30" s="82">
        <f>(tblPtf3[[#This Row],[Asset 1]]-C29+tblPtf3[[#This Row],[Div 1]])/C29</f>
        <v>-4.4542909408980577E-2</v>
      </c>
      <c r="J30" s="82">
        <f>(tblPtf3[[#This Row],[Asset 2]]-E29+tblPtf3[[#This Row],[Div 2]])/E29</f>
        <v>-2.1048466702963203E-2</v>
      </c>
      <c r="K30" s="82">
        <f>(tblPtf3[[#This Row],[Asset 3]]-G29+tblPtf3[[#This Row],[Div 3]])/G29</f>
        <v>-2.1259803149606227E-2</v>
      </c>
    </row>
    <row r="31" spans="2:22" x14ac:dyDescent="0.2">
      <c r="B31" s="32">
        <v>42093</v>
      </c>
      <c r="C31">
        <v>40.290000999999997</v>
      </c>
      <c r="E31">
        <v>125.32</v>
      </c>
      <c r="G31">
        <v>24.940000999999999</v>
      </c>
      <c r="I31" s="82">
        <f>(tblPtf3[[#This Row],[Asset 1]]-C30+tblPtf3[[#This Row],[Div 1]])/C30</f>
        <v>-1.6597509968330409E-2</v>
      </c>
      <c r="J31" s="82">
        <f>(tblPtf3[[#This Row],[Asset 2]]-E30+tblPtf3[[#This Row],[Div 2]])/E30</f>
        <v>1.6795131845841731E-2</v>
      </c>
      <c r="K31" s="82">
        <f>(tblPtf3[[#This Row],[Asset 3]]-G30+tblPtf3[[#This Row],[Div 3]])/G30</f>
        <v>3.2180207876901651E-3</v>
      </c>
    </row>
    <row r="32" spans="2:22" x14ac:dyDescent="0.2">
      <c r="B32" s="32">
        <v>42100</v>
      </c>
      <c r="C32">
        <v>41.720001000000003</v>
      </c>
      <c r="E32">
        <v>127.099998</v>
      </c>
      <c r="G32">
        <v>28.51</v>
      </c>
      <c r="I32" s="82">
        <f>(tblPtf3[[#This Row],[Asset 1]]-C31+tblPtf3[[#This Row],[Div 1]])/C31</f>
        <v>3.5492677202961773E-2</v>
      </c>
      <c r="J32" s="82">
        <f>(tblPtf3[[#This Row],[Asset 2]]-E31+tblPtf3[[#This Row],[Div 2]])/E31</f>
        <v>1.4203622725821947E-2</v>
      </c>
      <c r="K32" s="82">
        <f>(tblPtf3[[#This Row],[Asset 3]]-G31+tblPtf3[[#This Row],[Div 3]])/G31</f>
        <v>0.14314349867107073</v>
      </c>
    </row>
    <row r="33" spans="2:11" x14ac:dyDescent="0.2">
      <c r="B33" s="32">
        <v>42107</v>
      </c>
      <c r="C33">
        <v>41.619999</v>
      </c>
      <c r="E33">
        <v>124.75</v>
      </c>
      <c r="G33">
        <v>27.25</v>
      </c>
      <c r="I33" s="82">
        <f>(tblPtf3[[#This Row],[Asset 1]]-C32+tblPtf3[[#This Row],[Div 1]])/C32</f>
        <v>-2.3969798083179209E-3</v>
      </c>
      <c r="J33" s="82">
        <f>(tblPtf3[[#This Row],[Asset 2]]-E32+tblPtf3[[#This Row],[Div 2]])/E32</f>
        <v>-1.848936299747227E-2</v>
      </c>
      <c r="K33" s="82">
        <f>(tblPtf3[[#This Row],[Asset 3]]-G32+tblPtf3[[#This Row],[Div 3]])/G32</f>
        <v>-4.4195019291476727E-2</v>
      </c>
    </row>
    <row r="34" spans="2:11" x14ac:dyDescent="0.2">
      <c r="B34" s="32">
        <v>42114</v>
      </c>
      <c r="C34">
        <v>47.869999</v>
      </c>
      <c r="E34">
        <v>130.279999</v>
      </c>
      <c r="G34">
        <v>26.799999</v>
      </c>
      <c r="I34" s="82">
        <f>(tblPtf3[[#This Row],[Asset 1]]-C33+tblPtf3[[#This Row],[Div 1]])/C33</f>
        <v>0.15016819197905315</v>
      </c>
      <c r="J34" s="82">
        <f>(tblPtf3[[#This Row],[Asset 2]]-E33+tblPtf3[[#This Row],[Div 2]])/E33</f>
        <v>4.4328649298597221E-2</v>
      </c>
      <c r="K34" s="82">
        <f>(tblPtf3[[#This Row],[Asset 3]]-G33+tblPtf3[[#This Row],[Div 3]])/G33</f>
        <v>-1.6513798165137625E-2</v>
      </c>
    </row>
    <row r="35" spans="2:11" x14ac:dyDescent="0.2">
      <c r="B35" s="32">
        <v>42121</v>
      </c>
      <c r="C35">
        <v>48.66</v>
      </c>
      <c r="E35">
        <v>128.949997</v>
      </c>
      <c r="G35">
        <v>27.309999000000001</v>
      </c>
      <c r="I35" s="82">
        <f>(tblPtf3[[#This Row],[Asset 1]]-C34+tblPtf3[[#This Row],[Div 1]])/C34</f>
        <v>1.6503050271632482E-2</v>
      </c>
      <c r="J35" s="82">
        <f>(tblPtf3[[#This Row],[Asset 2]]-E34+tblPtf3[[#This Row],[Div 2]])/E34</f>
        <v>-1.0208796516800766E-2</v>
      </c>
      <c r="K35" s="82">
        <f>(tblPtf3[[#This Row],[Asset 3]]-G34+tblPtf3[[#This Row],[Div 3]])/G34</f>
        <v>1.9029851456337798E-2</v>
      </c>
    </row>
    <row r="36" spans="2:11" x14ac:dyDescent="0.2">
      <c r="B36" s="32">
        <v>42128</v>
      </c>
      <c r="C36">
        <v>47.75</v>
      </c>
      <c r="E36">
        <v>127.620003</v>
      </c>
      <c r="G36">
        <v>27.360001</v>
      </c>
      <c r="I36" s="82">
        <f>(tblPtf3[[#This Row],[Asset 1]]-C35+tblPtf3[[#This Row],[Div 1]])/C35</f>
        <v>-1.8701191944101862E-2</v>
      </c>
      <c r="J36" s="82">
        <f>(tblPtf3[[#This Row],[Asset 2]]-E35+tblPtf3[[#This Row],[Div 2]])/E35</f>
        <v>-1.0314028933246112E-2</v>
      </c>
      <c r="K36" s="82">
        <f>(tblPtf3[[#This Row],[Asset 3]]-G35+tblPtf3[[#This Row],[Div 3]])/G35</f>
        <v>1.8309044976530101E-3</v>
      </c>
    </row>
    <row r="37" spans="2:11" x14ac:dyDescent="0.2">
      <c r="B37" s="32">
        <v>42135</v>
      </c>
      <c r="C37">
        <v>48.299999</v>
      </c>
      <c r="E37">
        <v>128.770004</v>
      </c>
      <c r="F37">
        <v>0.52</v>
      </c>
      <c r="G37">
        <v>27.27</v>
      </c>
      <c r="I37" s="82">
        <f>(tblPtf3[[#This Row],[Asset 1]]-C36+tblPtf3[[#This Row],[Div 1]])/C36</f>
        <v>1.1518303664921459E-2</v>
      </c>
      <c r="J37" s="82">
        <f>(tblPtf3[[#This Row],[Asset 2]]-E36+tblPtf3[[#This Row],[Div 2]])/E36</f>
        <v>1.3085730769023749E-2</v>
      </c>
      <c r="K37" s="82">
        <f>(tblPtf3[[#This Row],[Asset 3]]-G36+tblPtf3[[#This Row],[Div 3]])/G36</f>
        <v>-3.289510113687528E-3</v>
      </c>
    </row>
    <row r="38" spans="2:11" x14ac:dyDescent="0.2">
      <c r="B38" s="32">
        <v>42142</v>
      </c>
      <c r="C38">
        <v>46.900002000000001</v>
      </c>
      <c r="D38">
        <v>0.31</v>
      </c>
      <c r="E38">
        <v>132.53999300000001</v>
      </c>
      <c r="G38">
        <v>27.68</v>
      </c>
      <c r="I38" s="82">
        <f>(tblPtf3[[#This Row],[Asset 1]]-C37+tblPtf3[[#This Row],[Div 1]])/C37</f>
        <v>-2.2567226140108181E-2</v>
      </c>
      <c r="J38" s="82">
        <f>(tblPtf3[[#This Row],[Asset 2]]-E37+tblPtf3[[#This Row],[Div 2]])/E37</f>
        <v>2.927691918065025E-2</v>
      </c>
      <c r="K38" s="82">
        <f>(tblPtf3[[#This Row],[Asset 3]]-G37+tblPtf3[[#This Row],[Div 3]])/G37</f>
        <v>1.503483681701504E-2</v>
      </c>
    </row>
    <row r="39" spans="2:11" x14ac:dyDescent="0.2">
      <c r="B39" s="32">
        <v>42150</v>
      </c>
      <c r="C39">
        <v>46.860000999999997</v>
      </c>
      <c r="E39">
        <v>130.279999</v>
      </c>
      <c r="G39">
        <v>27.27</v>
      </c>
      <c r="I39" s="82">
        <f>(tblPtf3[[#This Row],[Asset 1]]-C38+tblPtf3[[#This Row],[Div 1]])/C38</f>
        <v>-8.5289975040947182E-4</v>
      </c>
      <c r="J39" s="82">
        <f>(tblPtf3[[#This Row],[Asset 2]]-E38+tblPtf3[[#This Row],[Div 2]])/E38</f>
        <v>-1.7051411795381683E-2</v>
      </c>
      <c r="K39" s="82">
        <f>(tblPtf3[[#This Row],[Asset 3]]-G38+tblPtf3[[#This Row],[Div 3]])/G38</f>
        <v>-1.4812138728323704E-2</v>
      </c>
    </row>
    <row r="40" spans="2:11" x14ac:dyDescent="0.2">
      <c r="B40" s="32">
        <v>42156</v>
      </c>
      <c r="C40">
        <v>46.139999000000003</v>
      </c>
      <c r="E40">
        <v>128.64999399999999</v>
      </c>
      <c r="G40">
        <v>27.290001</v>
      </c>
      <c r="I40" s="82">
        <f>(tblPtf3[[#This Row],[Asset 1]]-C39+tblPtf3[[#This Row],[Div 1]])/C39</f>
        <v>-1.5364959125800997E-2</v>
      </c>
      <c r="J40" s="82">
        <f>(tblPtf3[[#This Row],[Asset 2]]-E39+tblPtf3[[#This Row],[Div 2]])/E39</f>
        <v>-1.2511552137792165E-2</v>
      </c>
      <c r="K40" s="82">
        <f>(tblPtf3[[#This Row],[Asset 3]]-G39+tblPtf3[[#This Row],[Div 3]])/G39</f>
        <v>7.3344334433445555E-4</v>
      </c>
    </row>
    <row r="41" spans="2:11" x14ac:dyDescent="0.2">
      <c r="B41" s="32">
        <v>42163</v>
      </c>
      <c r="C41">
        <v>45.970001000000003</v>
      </c>
      <c r="E41">
        <v>127.16999800000001</v>
      </c>
      <c r="G41">
        <v>27.389999</v>
      </c>
      <c r="I41" s="82">
        <f>(tblPtf3[[#This Row],[Asset 1]]-C40+tblPtf3[[#This Row],[Div 1]])/C40</f>
        <v>-3.6843953984480936E-3</v>
      </c>
      <c r="J41" s="82">
        <f>(tblPtf3[[#This Row],[Asset 2]]-E40+tblPtf3[[#This Row],[Div 2]])/E40</f>
        <v>-1.1504050283904294E-2</v>
      </c>
      <c r="K41" s="82">
        <f>(tblPtf3[[#This Row],[Asset 3]]-G40+tblPtf3[[#This Row],[Div 3]])/G40</f>
        <v>3.6642724930643781E-3</v>
      </c>
    </row>
    <row r="42" spans="2:11" x14ac:dyDescent="0.2">
      <c r="B42" s="32">
        <v>42170</v>
      </c>
      <c r="C42">
        <v>46.099997999999999</v>
      </c>
      <c r="E42">
        <v>126.599998</v>
      </c>
      <c r="G42">
        <v>27.24</v>
      </c>
      <c r="I42" s="82">
        <f>(tblPtf3[[#This Row],[Asset 1]]-C41+tblPtf3[[#This Row],[Div 1]])/C41</f>
        <v>2.8278659380493796E-3</v>
      </c>
      <c r="J42" s="82">
        <f>(tblPtf3[[#This Row],[Asset 2]]-E41+tblPtf3[[#This Row],[Div 2]])/E41</f>
        <v>-4.482189266056349E-3</v>
      </c>
      <c r="K42" s="82">
        <f>(tblPtf3[[#This Row],[Asset 3]]-G41+tblPtf3[[#This Row],[Div 3]])/G41</f>
        <v>-5.4764149498508965E-3</v>
      </c>
    </row>
    <row r="43" spans="2:11" x14ac:dyDescent="0.2">
      <c r="B43" s="32">
        <v>42177</v>
      </c>
      <c r="C43">
        <v>45.259998000000003</v>
      </c>
      <c r="E43">
        <v>126.75</v>
      </c>
      <c r="G43">
        <v>27.09</v>
      </c>
      <c r="I43" s="82">
        <f>(tblPtf3[[#This Row],[Asset 1]]-C42+tblPtf3[[#This Row],[Div 1]])/C42</f>
        <v>-1.8221258925000306E-2</v>
      </c>
      <c r="J43" s="82">
        <f>(tblPtf3[[#This Row],[Asset 2]]-E42+tblPtf3[[#This Row],[Div 2]])/E42</f>
        <v>1.1848499397290721E-3</v>
      </c>
      <c r="K43" s="82">
        <f>(tblPtf3[[#This Row],[Asset 3]]-G42+tblPtf3[[#This Row],[Div 3]])/G42</f>
        <v>-5.5066079295153668E-3</v>
      </c>
    </row>
    <row r="44" spans="2:11" x14ac:dyDescent="0.2">
      <c r="B44" s="32">
        <v>42184</v>
      </c>
      <c r="C44">
        <v>44.400002000000001</v>
      </c>
      <c r="E44">
        <v>126.44000200000001</v>
      </c>
      <c r="G44">
        <v>26.780000999999999</v>
      </c>
      <c r="I44" s="82">
        <f>(tblPtf3[[#This Row],[Asset 1]]-C43+tblPtf3[[#This Row],[Div 1]])/C43</f>
        <v>-1.9001238135273501E-2</v>
      </c>
      <c r="J44" s="82">
        <f>(tblPtf3[[#This Row],[Asset 2]]-E43+tblPtf3[[#This Row],[Div 2]])/E43</f>
        <v>-2.4457435897435355E-3</v>
      </c>
      <c r="K44" s="82">
        <f>(tblPtf3[[#This Row],[Asset 3]]-G43+tblPtf3[[#This Row],[Div 3]])/G43</f>
        <v>-1.1443300110742018E-2</v>
      </c>
    </row>
    <row r="45" spans="2:11" x14ac:dyDescent="0.2">
      <c r="B45" s="32">
        <v>42191</v>
      </c>
      <c r="C45">
        <v>44.610000999999997</v>
      </c>
      <c r="E45">
        <v>123.279999</v>
      </c>
      <c r="G45">
        <v>26.27</v>
      </c>
      <c r="I45" s="82">
        <f>(tblPtf3[[#This Row],[Asset 1]]-C44+tblPtf3[[#This Row],[Div 1]])/C44</f>
        <v>4.7297069941572584E-3</v>
      </c>
      <c r="J45" s="82">
        <f>(tblPtf3[[#This Row],[Asset 2]]-E44+tblPtf3[[#This Row],[Div 2]])/E44</f>
        <v>-2.4992114441757151E-2</v>
      </c>
      <c r="K45" s="82">
        <f>(tblPtf3[[#This Row],[Asset 3]]-G44+tblPtf3[[#This Row],[Div 3]])/G44</f>
        <v>-1.9044099363551146E-2</v>
      </c>
    </row>
    <row r="46" spans="2:11" x14ac:dyDescent="0.2">
      <c r="B46" s="32">
        <v>42198</v>
      </c>
      <c r="C46">
        <v>46.619999</v>
      </c>
      <c r="E46">
        <v>129.61999499999999</v>
      </c>
      <c r="G46">
        <v>27.24</v>
      </c>
      <c r="I46" s="82">
        <f>(tblPtf3[[#This Row],[Asset 1]]-C45+tblPtf3[[#This Row],[Div 1]])/C45</f>
        <v>4.5057116228264672E-2</v>
      </c>
      <c r="J46" s="82">
        <f>(tblPtf3[[#This Row],[Asset 2]]-E45+tblPtf3[[#This Row],[Div 2]])/E45</f>
        <v>5.1427612357459421E-2</v>
      </c>
      <c r="K46" s="82">
        <f>(tblPtf3[[#This Row],[Asset 3]]-G45+tblPtf3[[#This Row],[Div 3]])/G45</f>
        <v>3.6924248191853783E-2</v>
      </c>
    </row>
    <row r="47" spans="2:11" x14ac:dyDescent="0.2">
      <c r="B47" s="32">
        <v>42205</v>
      </c>
      <c r="C47">
        <v>45.939999</v>
      </c>
      <c r="E47">
        <v>124.5</v>
      </c>
      <c r="G47">
        <v>25.75</v>
      </c>
      <c r="I47" s="82">
        <f>(tblPtf3[[#This Row],[Asset 1]]-C46+tblPtf3[[#This Row],[Div 1]])/C46</f>
        <v>-1.4586014898884912E-2</v>
      </c>
      <c r="J47" s="82">
        <f>(tblPtf3[[#This Row],[Asset 2]]-E46+tblPtf3[[#This Row],[Div 2]])/E46</f>
        <v>-3.9500040097980173E-2</v>
      </c>
      <c r="K47" s="82">
        <f>(tblPtf3[[#This Row],[Asset 3]]-G46+tblPtf3[[#This Row],[Div 3]])/G46</f>
        <v>-5.4698972099853103E-2</v>
      </c>
    </row>
    <row r="48" spans="2:11" x14ac:dyDescent="0.2">
      <c r="B48" s="32">
        <v>42212</v>
      </c>
      <c r="C48">
        <v>46.700001</v>
      </c>
      <c r="E48">
        <v>121.300003</v>
      </c>
      <c r="G48">
        <v>26.1</v>
      </c>
      <c r="I48" s="82">
        <f>(tblPtf3[[#This Row],[Asset 1]]-C47+tblPtf3[[#This Row],[Div 1]])/C47</f>
        <v>1.6543361265636946E-2</v>
      </c>
      <c r="J48" s="82">
        <f>(tblPtf3[[#This Row],[Asset 2]]-E47+tblPtf3[[#This Row],[Div 2]])/E47</f>
        <v>-2.5702787148594346E-2</v>
      </c>
      <c r="K48" s="82">
        <f>(tblPtf3[[#This Row],[Asset 3]]-G47+tblPtf3[[#This Row],[Div 3]])/G47</f>
        <v>1.3592233009708793E-2</v>
      </c>
    </row>
    <row r="49" spans="2:11" x14ac:dyDescent="0.2">
      <c r="B49" s="32">
        <v>42219</v>
      </c>
      <c r="C49">
        <v>46.740001999999997</v>
      </c>
      <c r="E49">
        <v>115.519997</v>
      </c>
      <c r="G49">
        <v>25.790001</v>
      </c>
      <c r="I49" s="82">
        <f>(tblPtf3[[#This Row],[Asset 1]]-C48+tblPtf3[[#This Row],[Div 1]])/C48</f>
        <v>8.5655244418510017E-4</v>
      </c>
      <c r="J49" s="82">
        <f>(tblPtf3[[#This Row],[Asset 2]]-E48+tblPtf3[[#This Row],[Div 2]])/E48</f>
        <v>-4.7650501706912568E-2</v>
      </c>
      <c r="K49" s="82">
        <f>(tblPtf3[[#This Row],[Asset 3]]-G48+tblPtf3[[#This Row],[Div 3]])/G48</f>
        <v>-1.1877356321839127E-2</v>
      </c>
    </row>
    <row r="50" spans="2:11" x14ac:dyDescent="0.2">
      <c r="B50" s="32">
        <v>42226</v>
      </c>
      <c r="C50">
        <v>47</v>
      </c>
      <c r="E50">
        <v>115.959999</v>
      </c>
      <c r="F50">
        <v>0.52</v>
      </c>
      <c r="G50">
        <v>26.08</v>
      </c>
      <c r="I50" s="82">
        <f>(tblPtf3[[#This Row],[Asset 1]]-C49+tblPtf3[[#This Row],[Div 1]])/C49</f>
        <v>5.5626441778929125E-3</v>
      </c>
      <c r="J50" s="82">
        <f>(tblPtf3[[#This Row],[Asset 2]]-E49+tblPtf3[[#This Row],[Div 2]])/E49</f>
        <v>8.3102668363122679E-3</v>
      </c>
      <c r="K50" s="82">
        <f>(tblPtf3[[#This Row],[Asset 3]]-G49+tblPtf3[[#This Row],[Div 3]])/G49</f>
        <v>1.1244629265427252E-2</v>
      </c>
    </row>
    <row r="51" spans="2:11" x14ac:dyDescent="0.2">
      <c r="B51" s="32">
        <v>42233</v>
      </c>
      <c r="C51">
        <v>43.07</v>
      </c>
      <c r="D51">
        <v>0.31</v>
      </c>
      <c r="E51">
        <v>105.760002</v>
      </c>
      <c r="G51">
        <v>24.59</v>
      </c>
      <c r="I51" s="82">
        <f>(tblPtf3[[#This Row],[Asset 1]]-C50+tblPtf3[[#This Row],[Div 1]])/C50</f>
        <v>-7.7021276595744675E-2</v>
      </c>
      <c r="J51" s="82">
        <f>(tblPtf3[[#This Row],[Asset 2]]-E50+tblPtf3[[#This Row],[Div 2]])/E50</f>
        <v>-8.7961340875830782E-2</v>
      </c>
      <c r="K51" s="82">
        <f>(tblPtf3[[#This Row],[Asset 3]]-G50+tblPtf3[[#This Row],[Div 3]])/G50</f>
        <v>-5.7131901840490738E-2</v>
      </c>
    </row>
    <row r="52" spans="2:11" x14ac:dyDescent="0.2">
      <c r="B52" s="32">
        <v>42240</v>
      </c>
      <c r="C52">
        <v>43.93</v>
      </c>
      <c r="E52">
        <v>113.290001</v>
      </c>
      <c r="G52">
        <v>25.16</v>
      </c>
      <c r="H52">
        <v>0.23</v>
      </c>
      <c r="I52" s="82">
        <f>(tblPtf3[[#This Row],[Asset 1]]-C51+tblPtf3[[#This Row],[Div 1]])/C51</f>
        <v>1.9967494775946122E-2</v>
      </c>
      <c r="J52" s="82">
        <f>(tblPtf3[[#This Row],[Asset 2]]-E51+tblPtf3[[#This Row],[Div 2]])/E51</f>
        <v>7.1198930196691976E-2</v>
      </c>
      <c r="K52" s="82">
        <f>(tblPtf3[[#This Row],[Asset 3]]-G51+tblPtf3[[#This Row],[Div 3]])/G51</f>
        <v>3.2533550223668169E-2</v>
      </c>
    </row>
    <row r="53" spans="2:11" x14ac:dyDescent="0.2">
      <c r="B53" s="32">
        <v>42247</v>
      </c>
      <c r="C53">
        <v>42.610000999999997</v>
      </c>
      <c r="E53">
        <v>109.269997</v>
      </c>
      <c r="G53">
        <v>24</v>
      </c>
      <c r="I53" s="82">
        <f>(tblPtf3[[#This Row],[Asset 1]]-C52+tblPtf3[[#This Row],[Div 1]])/C52</f>
        <v>-3.0047780559981852E-2</v>
      </c>
      <c r="J53" s="82">
        <f>(tblPtf3[[#This Row],[Asset 2]]-E52+tblPtf3[[#This Row],[Div 2]])/E52</f>
        <v>-3.548419070099576E-2</v>
      </c>
      <c r="K53" s="82">
        <f>(tblPtf3[[#This Row],[Asset 3]]-G52+tblPtf3[[#This Row],[Div 3]])/G52</f>
        <v>-4.6104928457869641E-2</v>
      </c>
    </row>
    <row r="54" spans="2:11" x14ac:dyDescent="0.2">
      <c r="B54" s="32">
        <v>42255</v>
      </c>
      <c r="C54">
        <v>43.48</v>
      </c>
      <c r="E54">
        <v>114.209999</v>
      </c>
      <c r="G54">
        <v>24.950001</v>
      </c>
      <c r="I54" s="82">
        <f>(tblPtf3[[#This Row],[Asset 1]]-C53+tblPtf3[[#This Row],[Div 1]])/C53</f>
        <v>2.0417718366164791E-2</v>
      </c>
      <c r="J54" s="82">
        <f>(tblPtf3[[#This Row],[Asset 2]]-E53+tblPtf3[[#This Row],[Div 2]])/E53</f>
        <v>4.5209134580647903E-2</v>
      </c>
      <c r="K54" s="82">
        <f>(tblPtf3[[#This Row],[Asset 3]]-G53+tblPtf3[[#This Row],[Div 3]])/G53</f>
        <v>3.9583375000000011E-2</v>
      </c>
    </row>
    <row r="55" spans="2:11" x14ac:dyDescent="0.2">
      <c r="B55" s="32">
        <v>42261</v>
      </c>
      <c r="C55">
        <v>43.48</v>
      </c>
      <c r="E55">
        <v>113.449997</v>
      </c>
      <c r="G55">
        <v>24.799999</v>
      </c>
      <c r="I55" s="82">
        <f>(tblPtf3[[#This Row],[Asset 1]]-C54+tblPtf3[[#This Row],[Div 1]])/C54</f>
        <v>0</v>
      </c>
      <c r="J55" s="82">
        <f>(tblPtf3[[#This Row],[Asset 2]]-E54+tblPtf3[[#This Row],[Div 2]])/E54</f>
        <v>-6.6544261155277668E-3</v>
      </c>
      <c r="K55" s="82">
        <f>(tblPtf3[[#This Row],[Asset 3]]-G54+tblPtf3[[#This Row],[Div 3]])/G54</f>
        <v>-6.0121039674507683E-3</v>
      </c>
    </row>
    <row r="56" spans="2:11" x14ac:dyDescent="0.2">
      <c r="B56" s="32">
        <v>42268</v>
      </c>
      <c r="C56">
        <v>43.939999</v>
      </c>
      <c r="E56">
        <v>114.709999</v>
      </c>
      <c r="G56">
        <v>24.92</v>
      </c>
      <c r="I56" s="82">
        <f>(tblPtf3[[#This Row],[Asset 1]]-C55+tblPtf3[[#This Row],[Div 1]])/C55</f>
        <v>1.0579553817847365E-2</v>
      </c>
      <c r="J56" s="82">
        <f>(tblPtf3[[#This Row],[Asset 2]]-E55+tblPtf3[[#This Row],[Div 2]])/E55</f>
        <v>1.1106232113871278E-2</v>
      </c>
      <c r="K56" s="82">
        <f>(tblPtf3[[#This Row],[Asset 3]]-G55+tblPtf3[[#This Row],[Div 3]])/G55</f>
        <v>4.8387501951109762E-3</v>
      </c>
    </row>
    <row r="57" spans="2:11" x14ac:dyDescent="0.2">
      <c r="B57" s="32">
        <v>42275</v>
      </c>
      <c r="C57">
        <v>45.57</v>
      </c>
      <c r="E57">
        <v>110.379997</v>
      </c>
      <c r="G57">
        <v>25.469999000000001</v>
      </c>
      <c r="I57" s="82">
        <f>(tblPtf3[[#This Row],[Asset 1]]-C56+tblPtf3[[#This Row],[Div 1]])/C56</f>
        <v>3.7096063657170317E-2</v>
      </c>
      <c r="J57" s="82">
        <f>(tblPtf3[[#This Row],[Asset 2]]-E56+tblPtf3[[#This Row],[Div 2]])/E56</f>
        <v>-3.7747380679516815E-2</v>
      </c>
      <c r="K57" s="82">
        <f>(tblPtf3[[#This Row],[Asset 3]]-G56+tblPtf3[[#This Row],[Div 3]])/G56</f>
        <v>2.2070585874799344E-2</v>
      </c>
    </row>
    <row r="58" spans="2:11" x14ac:dyDescent="0.2">
      <c r="B58" s="32">
        <v>42282</v>
      </c>
      <c r="C58">
        <v>47.110000999999997</v>
      </c>
      <c r="E58">
        <v>112.120003</v>
      </c>
      <c r="G58">
        <v>28.07</v>
      </c>
      <c r="I58" s="82">
        <f>(tblPtf3[[#This Row],[Asset 1]]-C57+tblPtf3[[#This Row],[Div 1]])/C57</f>
        <v>3.3794184770682391E-2</v>
      </c>
      <c r="J58" s="82">
        <f>(tblPtf3[[#This Row],[Asset 2]]-E57+tblPtf3[[#This Row],[Div 2]])/E57</f>
        <v>1.5763780098671264E-2</v>
      </c>
      <c r="K58" s="82">
        <f>(tblPtf3[[#This Row],[Asset 3]]-G57+tblPtf3[[#This Row],[Div 3]])/G57</f>
        <v>0.10208092273580376</v>
      </c>
    </row>
    <row r="59" spans="2:11" x14ac:dyDescent="0.2">
      <c r="B59" s="32">
        <v>42289</v>
      </c>
      <c r="C59">
        <v>47.509998000000003</v>
      </c>
      <c r="E59">
        <v>111.040001</v>
      </c>
      <c r="G59">
        <v>28.98</v>
      </c>
      <c r="I59" s="82">
        <f>(tblPtf3[[#This Row],[Asset 1]]-C58+tblPtf3[[#This Row],[Div 1]])/C58</f>
        <v>8.4907024306793404E-3</v>
      </c>
      <c r="J59" s="82">
        <f>(tblPtf3[[#This Row],[Asset 2]]-E58+tblPtf3[[#This Row],[Div 2]])/E58</f>
        <v>-9.6325541482548231E-3</v>
      </c>
      <c r="K59" s="82">
        <f>(tblPtf3[[#This Row],[Asset 3]]-G58+tblPtf3[[#This Row],[Div 3]])/G58</f>
        <v>3.2418952618453872E-2</v>
      </c>
    </row>
    <row r="60" spans="2:11" x14ac:dyDescent="0.2">
      <c r="B60" s="32">
        <v>42296</v>
      </c>
      <c r="C60">
        <v>52.869999</v>
      </c>
      <c r="E60">
        <v>119.08000199999999</v>
      </c>
      <c r="G60">
        <v>29.51</v>
      </c>
      <c r="I60" s="82">
        <f>(tblPtf3[[#This Row],[Asset 1]]-C59+tblPtf3[[#This Row],[Div 1]])/C59</f>
        <v>0.11281837982817841</v>
      </c>
      <c r="J60" s="82">
        <f>(tblPtf3[[#This Row],[Asset 2]]-E59+tblPtf3[[#This Row],[Div 2]])/E59</f>
        <v>7.240634841132601E-2</v>
      </c>
      <c r="K60" s="82">
        <f>(tblPtf3[[#This Row],[Asset 3]]-G59+tblPtf3[[#This Row],[Div 3]])/G59</f>
        <v>1.8288474810213978E-2</v>
      </c>
    </row>
    <row r="61" spans="2:11" x14ac:dyDescent="0.2">
      <c r="B61" s="32">
        <v>42303</v>
      </c>
      <c r="C61">
        <v>52.639999000000003</v>
      </c>
      <c r="E61">
        <v>119.5</v>
      </c>
      <c r="G61">
        <v>28.92</v>
      </c>
      <c r="I61" s="82">
        <f>(tblPtf3[[#This Row],[Asset 1]]-C60+tblPtf3[[#This Row],[Div 1]])/C60</f>
        <v>-4.3502932542139232E-3</v>
      </c>
      <c r="J61" s="82">
        <f>(tblPtf3[[#This Row],[Asset 2]]-E60+tblPtf3[[#This Row],[Div 2]])/E60</f>
        <v>3.5270237902751025E-3</v>
      </c>
      <c r="K61" s="82">
        <f>(tblPtf3[[#This Row],[Asset 3]]-G60+tblPtf3[[#This Row],[Div 3]])/G60</f>
        <v>-1.9993222636394435E-2</v>
      </c>
    </row>
    <row r="62" spans="2:11" x14ac:dyDescent="0.2">
      <c r="B62" s="32">
        <v>42310</v>
      </c>
      <c r="C62">
        <v>54.919998</v>
      </c>
      <c r="E62">
        <v>121.05999799999999</v>
      </c>
      <c r="G62">
        <v>29.92</v>
      </c>
      <c r="I62" s="82">
        <f>(tblPtf3[[#This Row],[Asset 1]]-C61+tblPtf3[[#This Row],[Div 1]])/C61</f>
        <v>4.3313051734670364E-2</v>
      </c>
      <c r="J62" s="82">
        <f>(tblPtf3[[#This Row],[Asset 2]]-E61+tblPtf3[[#This Row],[Div 2]])/E61</f>
        <v>1.30543765690376E-2</v>
      </c>
      <c r="K62" s="82">
        <f>(tblPtf3[[#This Row],[Asset 3]]-G61+tblPtf3[[#This Row],[Div 3]])/G61</f>
        <v>3.4578146611341627E-2</v>
      </c>
    </row>
    <row r="63" spans="2:11" x14ac:dyDescent="0.2">
      <c r="B63" s="32">
        <v>42317</v>
      </c>
      <c r="C63">
        <v>52.84</v>
      </c>
      <c r="E63">
        <v>112.339996</v>
      </c>
      <c r="F63">
        <v>0.52</v>
      </c>
      <c r="G63">
        <v>30.280000999999999</v>
      </c>
      <c r="I63" s="82">
        <f>(tblPtf3[[#This Row],[Asset 1]]-C62+tblPtf3[[#This Row],[Div 1]])/C62</f>
        <v>-3.787323517382496E-2</v>
      </c>
      <c r="J63" s="82">
        <f>(tblPtf3[[#This Row],[Asset 2]]-E62+tblPtf3[[#This Row],[Div 2]])/E62</f>
        <v>-6.7735025074095859E-2</v>
      </c>
      <c r="K63" s="82">
        <f>(tblPtf3[[#This Row],[Asset 3]]-G62+tblPtf3[[#This Row],[Div 3]])/G62</f>
        <v>1.2032118983957115E-2</v>
      </c>
    </row>
    <row r="64" spans="2:11" x14ac:dyDescent="0.2">
      <c r="B64" s="32">
        <v>42324</v>
      </c>
      <c r="C64">
        <v>54.189999</v>
      </c>
      <c r="D64">
        <v>0.36</v>
      </c>
      <c r="E64">
        <v>119.300003</v>
      </c>
      <c r="G64">
        <v>30.66</v>
      </c>
      <c r="I64" s="82">
        <f>(tblPtf3[[#This Row],[Asset 1]]-C63+tblPtf3[[#This Row],[Div 1]])/C63</f>
        <v>3.236182816048442E-2</v>
      </c>
      <c r="J64" s="82">
        <f>(tblPtf3[[#This Row],[Asset 2]]-E63+tblPtf3[[#This Row],[Div 2]])/E63</f>
        <v>6.1954844648561359E-2</v>
      </c>
      <c r="K64" s="82">
        <f>(tblPtf3[[#This Row],[Asset 3]]-G63+tblPtf3[[#This Row],[Div 3]])/G63</f>
        <v>1.2549504209065301E-2</v>
      </c>
    </row>
    <row r="65" spans="2:11" x14ac:dyDescent="0.2">
      <c r="B65" s="32">
        <v>42331</v>
      </c>
      <c r="C65">
        <v>53.93</v>
      </c>
      <c r="E65">
        <v>117.80999799999999</v>
      </c>
      <c r="G65">
        <v>30.59</v>
      </c>
      <c r="H65">
        <v>0.23</v>
      </c>
      <c r="I65" s="82">
        <f>(tblPtf3[[#This Row],[Asset 1]]-C64+tblPtf3[[#This Row],[Div 1]])/C64</f>
        <v>-4.7979148329565487E-3</v>
      </c>
      <c r="J65" s="82">
        <f>(tblPtf3[[#This Row],[Asset 2]]-E64+tblPtf3[[#This Row],[Div 2]])/E64</f>
        <v>-1.248956380998591E-2</v>
      </c>
      <c r="K65" s="82">
        <f>(tblPtf3[[#This Row],[Asset 3]]-G64+tblPtf3[[#This Row],[Div 3]])/G64</f>
        <v>5.218525766470963E-3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DJIA Index</vt:lpstr>
      <vt:lpstr>OAT</vt:lpstr>
      <vt:lpstr>TOTAL</vt:lpstr>
      <vt:lpstr>ACCENTURE</vt:lpstr>
      <vt:lpstr>APPLE</vt:lpstr>
      <vt:lpstr>CGI</vt:lpstr>
      <vt:lpstr>Portfolio</vt:lpstr>
      <vt:lpstr>Ptf-2-Asstes</vt:lpstr>
      <vt:lpstr>Ptf-3-Asstes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Amine EL AFRIT</dc:creator>
  <cp:lastModifiedBy>elafrit</cp:lastModifiedBy>
  <dcterms:created xsi:type="dcterms:W3CDTF">2015-08-11T14:45:00Z</dcterms:created>
  <dcterms:modified xsi:type="dcterms:W3CDTF">2015-12-01T07:29:11Z</dcterms:modified>
</cp:coreProperties>
</file>