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 Drive\01 - Formations\04 - HEC\ICCF\83-Etudes de cas\03-Devoirs\Cas EPC\"/>
    </mc:Choice>
  </mc:AlternateContent>
  <bookViews>
    <workbookView xWindow="0" yWindow="0" windowWidth="21570" windowHeight="6660"/>
  </bookViews>
  <sheets>
    <sheet name="EPC" sheetId="1" r:id="rId1"/>
  </sheets>
  <definedNames>
    <definedName name="_xlnm.Print_Area" localSheetId="0">EPC!$A$88:$K$128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G11" i="1"/>
  <c r="G14" i="1"/>
  <c r="G16" i="1"/>
  <c r="G17" i="1"/>
  <c r="G18" i="1"/>
  <c r="G20" i="1"/>
  <c r="G23" i="1"/>
  <c r="G24" i="1"/>
  <c r="G25" i="1"/>
  <c r="G29" i="1"/>
  <c r="G31" i="1"/>
  <c r="D155" i="1"/>
  <c r="E11" i="1"/>
  <c r="E14" i="1"/>
  <c r="E16" i="1"/>
  <c r="E17" i="1"/>
  <c r="E18" i="1"/>
  <c r="E20" i="1"/>
  <c r="E24" i="1"/>
  <c r="E25" i="1"/>
  <c r="E29" i="1"/>
  <c r="E31" i="1"/>
  <c r="D154" i="1"/>
  <c r="D153" i="1"/>
  <c r="D152" i="1"/>
  <c r="H11" i="1"/>
  <c r="H14" i="1"/>
  <c r="H16" i="1"/>
  <c r="H17" i="1"/>
  <c r="H18" i="1"/>
  <c r="H20" i="1"/>
  <c r="H60" i="1"/>
  <c r="H63" i="1"/>
  <c r="H65" i="1"/>
  <c r="H66" i="1"/>
  <c r="H68" i="1"/>
  <c r="H69" i="1"/>
  <c r="H72" i="1"/>
  <c r="H73" i="1"/>
  <c r="D151" i="1"/>
  <c r="D11" i="1"/>
  <c r="D14" i="1"/>
  <c r="D16" i="1"/>
  <c r="D17" i="1"/>
  <c r="D18" i="1"/>
  <c r="D20" i="1"/>
  <c r="D60" i="1"/>
  <c r="D63" i="1"/>
  <c r="D65" i="1"/>
  <c r="D66" i="1"/>
  <c r="D68" i="1"/>
  <c r="D69" i="1"/>
  <c r="D72" i="1"/>
  <c r="D73" i="1"/>
  <c r="D150" i="1"/>
  <c r="H79" i="1"/>
  <c r="H80" i="1"/>
  <c r="H85" i="1"/>
  <c r="D149" i="1"/>
  <c r="E149" i="1"/>
  <c r="F149" i="1"/>
  <c r="D79" i="1"/>
  <c r="D80" i="1"/>
  <c r="D85" i="1"/>
  <c r="D148" i="1"/>
  <c r="E148" i="1"/>
  <c r="F148" i="1"/>
  <c r="D147" i="1"/>
  <c r="E147" i="1"/>
  <c r="F147" i="1"/>
  <c r="D146" i="1"/>
  <c r="E146" i="1"/>
  <c r="F146" i="1"/>
  <c r="D145" i="1"/>
  <c r="D144" i="1"/>
  <c r="D143" i="1"/>
  <c r="D142" i="1"/>
  <c r="D141" i="1"/>
  <c r="D140" i="1"/>
  <c r="D139" i="1"/>
  <c r="G65" i="1"/>
  <c r="D138" i="1"/>
  <c r="E65" i="1"/>
  <c r="D137" i="1"/>
  <c r="D136" i="1"/>
  <c r="D135" i="1"/>
  <c r="H23" i="1"/>
  <c r="H24" i="1"/>
  <c r="H25" i="1"/>
  <c r="H29" i="1"/>
  <c r="H31" i="1"/>
  <c r="D134" i="1"/>
  <c r="H127" i="1"/>
  <c r="G127" i="1"/>
  <c r="F11" i="1"/>
  <c r="F14" i="1"/>
  <c r="F16" i="1"/>
  <c r="F17" i="1"/>
  <c r="F18" i="1"/>
  <c r="F20" i="1"/>
  <c r="F23" i="1"/>
  <c r="F24" i="1"/>
  <c r="F25" i="1"/>
  <c r="F29" i="1"/>
  <c r="F31" i="1"/>
  <c r="F127" i="1"/>
  <c r="E127" i="1"/>
  <c r="D24" i="1"/>
  <c r="D25" i="1"/>
  <c r="D29" i="1"/>
  <c r="D31" i="1"/>
  <c r="D127" i="1"/>
  <c r="H126" i="1"/>
  <c r="G126" i="1"/>
  <c r="F126" i="1"/>
  <c r="E126" i="1"/>
  <c r="D126" i="1"/>
  <c r="H78" i="1"/>
  <c r="H125" i="1"/>
  <c r="G78" i="1"/>
  <c r="G125" i="1"/>
  <c r="F78" i="1"/>
  <c r="F125" i="1"/>
  <c r="E78" i="1"/>
  <c r="E125" i="1"/>
  <c r="D78" i="1"/>
  <c r="D125" i="1"/>
  <c r="H124" i="1"/>
  <c r="G60" i="1"/>
  <c r="G63" i="1"/>
  <c r="G66" i="1"/>
  <c r="G68" i="1"/>
  <c r="G69" i="1"/>
  <c r="G71" i="1"/>
  <c r="G72" i="1"/>
  <c r="G73" i="1"/>
  <c r="G124" i="1"/>
  <c r="F60" i="1"/>
  <c r="F63" i="1"/>
  <c r="F65" i="1"/>
  <c r="F66" i="1"/>
  <c r="F68" i="1"/>
  <c r="F69" i="1"/>
  <c r="F71" i="1"/>
  <c r="F72" i="1"/>
  <c r="F73" i="1"/>
  <c r="F124" i="1"/>
  <c r="E60" i="1"/>
  <c r="E63" i="1"/>
  <c r="E66" i="1"/>
  <c r="E68" i="1"/>
  <c r="E69" i="1"/>
  <c r="E71" i="1"/>
  <c r="E72" i="1"/>
  <c r="E73" i="1"/>
  <c r="E124" i="1"/>
  <c r="D124" i="1"/>
  <c r="H38" i="1"/>
  <c r="H39" i="1"/>
  <c r="H40" i="1"/>
  <c r="H43" i="1"/>
  <c r="H44" i="1"/>
  <c r="H45" i="1"/>
  <c r="H46" i="1"/>
  <c r="H47" i="1"/>
  <c r="H49" i="1"/>
  <c r="H50" i="1"/>
  <c r="H51" i="1"/>
  <c r="H53" i="1"/>
  <c r="H54" i="1"/>
  <c r="H122" i="1"/>
  <c r="G38" i="1"/>
  <c r="G39" i="1"/>
  <c r="G40" i="1"/>
  <c r="G43" i="1"/>
  <c r="G44" i="1"/>
  <c r="G45" i="1"/>
  <c r="G49" i="1"/>
  <c r="G50" i="1"/>
  <c r="G51" i="1"/>
  <c r="G54" i="1"/>
  <c r="G122" i="1"/>
  <c r="F38" i="1"/>
  <c r="F39" i="1"/>
  <c r="F40" i="1"/>
  <c r="F43" i="1"/>
  <c r="F44" i="1"/>
  <c r="F45" i="1"/>
  <c r="F49" i="1"/>
  <c r="F50" i="1"/>
  <c r="F51" i="1"/>
  <c r="F54" i="1"/>
  <c r="F122" i="1"/>
  <c r="E38" i="1"/>
  <c r="E39" i="1"/>
  <c r="E40" i="1"/>
  <c r="E43" i="1"/>
  <c r="E44" i="1"/>
  <c r="E45" i="1"/>
  <c r="E49" i="1"/>
  <c r="E50" i="1"/>
  <c r="E51" i="1"/>
  <c r="E54" i="1"/>
  <c r="E122" i="1"/>
  <c r="D38" i="1"/>
  <c r="D39" i="1"/>
  <c r="D40" i="1"/>
  <c r="D43" i="1"/>
  <c r="D45" i="1"/>
  <c r="D50" i="1"/>
  <c r="D51" i="1"/>
  <c r="D54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79" i="1"/>
  <c r="G80" i="1"/>
  <c r="G85" i="1"/>
  <c r="G118" i="1"/>
  <c r="F79" i="1"/>
  <c r="F80" i="1"/>
  <c r="F85" i="1"/>
  <c r="F118" i="1"/>
  <c r="E79" i="1"/>
  <c r="E80" i="1"/>
  <c r="E85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4" i="1"/>
  <c r="D114" i="1"/>
  <c r="K114" i="1"/>
  <c r="G114" i="1"/>
  <c r="F114" i="1"/>
  <c r="E114" i="1"/>
  <c r="H113" i="1"/>
  <c r="D113" i="1"/>
  <c r="K113" i="1"/>
  <c r="G113" i="1"/>
  <c r="F113" i="1"/>
  <c r="E113" i="1"/>
  <c r="H112" i="1"/>
  <c r="D112" i="1"/>
  <c r="K112" i="1"/>
  <c r="G112" i="1"/>
  <c r="F112" i="1"/>
  <c r="E112" i="1"/>
  <c r="H111" i="1"/>
  <c r="D111" i="1"/>
  <c r="K111" i="1"/>
  <c r="G111" i="1"/>
  <c r="F111" i="1"/>
  <c r="E111" i="1"/>
  <c r="H109" i="1"/>
  <c r="G109" i="1"/>
  <c r="H110" i="1"/>
  <c r="F109" i="1"/>
  <c r="G110" i="1"/>
  <c r="E109" i="1"/>
  <c r="F110" i="1"/>
  <c r="D109" i="1"/>
  <c r="E110" i="1"/>
  <c r="K109" i="1"/>
  <c r="H105" i="1"/>
  <c r="H106" i="1"/>
  <c r="H107" i="1"/>
  <c r="G105" i="1"/>
  <c r="G106" i="1"/>
  <c r="G107" i="1"/>
  <c r="F105" i="1"/>
  <c r="F106" i="1"/>
  <c r="F107" i="1"/>
  <c r="E105" i="1"/>
  <c r="E106" i="1"/>
  <c r="E107" i="1"/>
  <c r="D105" i="1"/>
  <c r="D106" i="1"/>
  <c r="D107" i="1"/>
  <c r="H104" i="1"/>
  <c r="G104" i="1"/>
  <c r="F104" i="1"/>
  <c r="E104" i="1"/>
  <c r="D104" i="1"/>
  <c r="H101" i="1"/>
  <c r="G101" i="1"/>
  <c r="H102" i="1"/>
  <c r="F101" i="1"/>
  <c r="G102" i="1"/>
  <c r="E101" i="1"/>
  <c r="F102" i="1"/>
  <c r="D101" i="1"/>
  <c r="E102" i="1"/>
  <c r="H100" i="1"/>
  <c r="G100" i="1"/>
  <c r="F100" i="1"/>
  <c r="E100" i="1"/>
  <c r="D100" i="1"/>
  <c r="Q18" i="1"/>
  <c r="H99" i="1"/>
  <c r="P18" i="1"/>
  <c r="G99" i="1"/>
  <c r="O18" i="1"/>
  <c r="F99" i="1"/>
  <c r="N18" i="1"/>
  <c r="E99" i="1"/>
  <c r="M18" i="1"/>
  <c r="D99" i="1"/>
  <c r="H97" i="1"/>
  <c r="G97" i="1"/>
  <c r="H98" i="1"/>
  <c r="F97" i="1"/>
  <c r="G98" i="1"/>
  <c r="E97" i="1"/>
  <c r="F98" i="1"/>
  <c r="D97" i="1"/>
  <c r="E98" i="1"/>
  <c r="K97" i="1"/>
  <c r="H95" i="1"/>
  <c r="G95" i="1"/>
  <c r="H96" i="1"/>
  <c r="F95" i="1"/>
  <c r="G96" i="1"/>
  <c r="E95" i="1"/>
  <c r="F96" i="1"/>
  <c r="D95" i="1"/>
  <c r="E96" i="1"/>
  <c r="K95" i="1"/>
  <c r="H89" i="1"/>
  <c r="G89" i="1"/>
  <c r="F7" i="1"/>
  <c r="F89" i="1"/>
  <c r="E89" i="1"/>
  <c r="D89" i="1"/>
  <c r="H87" i="1"/>
  <c r="G87" i="1"/>
  <c r="F87" i="1"/>
  <c r="E87" i="1"/>
  <c r="H86" i="1"/>
  <c r="G86" i="1"/>
  <c r="F86" i="1"/>
  <c r="E86" i="1"/>
  <c r="D86" i="1"/>
  <c r="N65" i="1"/>
  <c r="N62" i="1"/>
  <c r="N59" i="1"/>
  <c r="H57" i="1"/>
  <c r="G57" i="1"/>
  <c r="F57" i="1"/>
  <c r="E57" i="1"/>
  <c r="D57" i="1"/>
  <c r="C57" i="1"/>
  <c r="H37" i="1"/>
  <c r="G37" i="1"/>
  <c r="F37" i="1"/>
  <c r="E37" i="1"/>
  <c r="D37" i="1"/>
  <c r="C37" i="1"/>
  <c r="Q31" i="1"/>
  <c r="P31" i="1"/>
  <c r="O31" i="1"/>
  <c r="N31" i="1"/>
  <c r="M31" i="1"/>
  <c r="L31" i="1"/>
  <c r="Q30" i="1"/>
  <c r="P30" i="1"/>
  <c r="O30" i="1"/>
  <c r="N30" i="1"/>
  <c r="M30" i="1"/>
  <c r="L30" i="1"/>
  <c r="Q29" i="1"/>
  <c r="P29" i="1"/>
  <c r="O29" i="1"/>
  <c r="N29" i="1"/>
  <c r="M29" i="1"/>
  <c r="L29" i="1"/>
  <c r="Q28" i="1"/>
  <c r="P28" i="1"/>
  <c r="O28" i="1"/>
  <c r="N28" i="1"/>
  <c r="M28" i="1"/>
  <c r="L28" i="1"/>
  <c r="Q27" i="1"/>
  <c r="P27" i="1"/>
  <c r="O27" i="1"/>
  <c r="N27" i="1"/>
  <c r="M27" i="1"/>
  <c r="L27" i="1"/>
  <c r="Q26" i="1"/>
  <c r="P26" i="1"/>
  <c r="O26" i="1"/>
  <c r="N26" i="1"/>
  <c r="M26" i="1"/>
  <c r="L26" i="1"/>
  <c r="Q25" i="1"/>
  <c r="P25" i="1"/>
  <c r="O25" i="1"/>
  <c r="N25" i="1"/>
  <c r="M25" i="1"/>
  <c r="L25" i="1"/>
  <c r="Q24" i="1"/>
  <c r="P24" i="1"/>
  <c r="O24" i="1"/>
  <c r="N24" i="1"/>
  <c r="M24" i="1"/>
  <c r="L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K20" i="1"/>
  <c r="Q19" i="1"/>
  <c r="P19" i="1"/>
  <c r="O19" i="1"/>
  <c r="N19" i="1"/>
  <c r="M19" i="1"/>
  <c r="L19" i="1"/>
  <c r="K19" i="1"/>
  <c r="L18" i="1"/>
  <c r="K18" i="1"/>
  <c r="Q17" i="1"/>
  <c r="P17" i="1"/>
  <c r="O17" i="1"/>
  <c r="N17" i="1"/>
  <c r="M17" i="1"/>
  <c r="L17" i="1"/>
  <c r="K17" i="1"/>
  <c r="Q16" i="1"/>
  <c r="P16" i="1"/>
  <c r="O16" i="1"/>
  <c r="N16" i="1"/>
  <c r="M16" i="1"/>
  <c r="L16" i="1"/>
  <c r="K16" i="1"/>
  <c r="Q15" i="1"/>
  <c r="P15" i="1"/>
  <c r="O15" i="1"/>
  <c r="N15" i="1"/>
  <c r="M15" i="1"/>
  <c r="L15" i="1"/>
  <c r="K15" i="1"/>
  <c r="Q14" i="1"/>
  <c r="P14" i="1"/>
  <c r="O14" i="1"/>
  <c r="N14" i="1"/>
  <c r="M14" i="1"/>
  <c r="L14" i="1"/>
  <c r="K14" i="1"/>
  <c r="Q13" i="1"/>
  <c r="P13" i="1"/>
  <c r="O13" i="1"/>
  <c r="N13" i="1"/>
  <c r="M13" i="1"/>
  <c r="L13" i="1"/>
  <c r="K13" i="1"/>
  <c r="Q12" i="1"/>
  <c r="P12" i="1"/>
  <c r="O12" i="1"/>
  <c r="N12" i="1"/>
  <c r="M12" i="1"/>
  <c r="L12" i="1"/>
  <c r="K12" i="1"/>
  <c r="Q11" i="1"/>
  <c r="P11" i="1"/>
  <c r="O11" i="1"/>
  <c r="N11" i="1"/>
  <c r="M11" i="1"/>
  <c r="L11" i="1"/>
  <c r="K11" i="1"/>
  <c r="Q10" i="1"/>
  <c r="P10" i="1"/>
  <c r="O10" i="1"/>
  <c r="N10" i="1"/>
  <c r="M10" i="1"/>
  <c r="L10" i="1"/>
  <c r="K10" i="1"/>
  <c r="Q9" i="1"/>
  <c r="P9" i="1"/>
  <c r="O9" i="1"/>
  <c r="N9" i="1"/>
  <c r="M9" i="1"/>
  <c r="L9" i="1"/>
  <c r="K9" i="1"/>
  <c r="I9" i="1"/>
  <c r="Q8" i="1"/>
  <c r="P8" i="1"/>
  <c r="O8" i="1"/>
  <c r="N8" i="1"/>
  <c r="M8" i="1"/>
  <c r="L8" i="1"/>
  <c r="K8" i="1"/>
  <c r="Q7" i="1"/>
  <c r="P7" i="1"/>
  <c r="O7" i="1"/>
  <c r="N7" i="1"/>
  <c r="M7" i="1"/>
  <c r="L5" i="1"/>
</calcChain>
</file>

<file path=xl/comments1.xml><?xml version="1.0" encoding="utf-8"?>
<comments xmlns="http://schemas.openxmlformats.org/spreadsheetml/2006/main">
  <authors>
    <author>pascal quiry</author>
  </authors>
  <commentList>
    <comment ref="D65" authorId="0" shapeId="0">
      <text>
        <r>
          <rPr>
            <b/>
            <sz val="9"/>
            <color indexed="81"/>
            <rFont val="Arial"/>
            <family val="2"/>
          </rPr>
          <t>pascal quiry:</t>
        </r>
        <r>
          <rPr>
            <sz val="9"/>
            <color indexed="81"/>
            <rFont val="Arial"/>
            <family val="2"/>
          </rPr>
          <t xml:space="preserve">
yc avances clienst pour 4253
</t>
        </r>
      </text>
    </comment>
  </commentList>
</comments>
</file>

<file path=xl/sharedStrings.xml><?xml version="1.0" encoding="utf-8"?>
<sst xmlns="http://schemas.openxmlformats.org/spreadsheetml/2006/main" count="156" uniqueCount="145">
  <si>
    <t>ANALYSE FINANCIERE - EXPLOSIFS ET PRODUITS CHIMIQUES</t>
  </si>
  <si>
    <t>Compte de résultat</t>
  </si>
  <si>
    <t>Compte de résultat en %</t>
  </si>
  <si>
    <t>(Clôture des comptes le 31 décembre de chaque exercice)</t>
  </si>
  <si>
    <t>En milliers d'euros</t>
  </si>
  <si>
    <t>En % du chiffre d'affaires</t>
  </si>
  <si>
    <t>Chiffre d'affaires</t>
  </si>
  <si>
    <t>+ Production immobilisée</t>
  </si>
  <si>
    <t>+ Variation des stocks de produits finis</t>
  </si>
  <si>
    <t>= Production</t>
  </si>
  <si>
    <t>- Consommation de matières</t>
  </si>
  <si>
    <t>- Charges externes</t>
  </si>
  <si>
    <t>= Valeur ajoutée</t>
  </si>
  <si>
    <t>- Charges de personnel</t>
  </si>
  <si>
    <t>- Impôts et taxes ( y compris la CVAE)</t>
  </si>
  <si>
    <t xml:space="preserve">+/- Autres produits/ charges </t>
  </si>
  <si>
    <t>= Excédent brut d'exploitation</t>
  </si>
  <si>
    <t>- Dotations aux amortissements</t>
  </si>
  <si>
    <t>= Résultat d'exploitation</t>
  </si>
  <si>
    <t>- Coût de l'endettement net</t>
  </si>
  <si>
    <t>+ Autres éléments financiers</t>
  </si>
  <si>
    <t>+ Eléments non récurrents</t>
  </si>
  <si>
    <t>= Résultat avant impôt</t>
  </si>
  <si>
    <t>- Impôt sur les bénéfices exigible</t>
  </si>
  <si>
    <t>- Impôt sur les bénéfices différé</t>
  </si>
  <si>
    <t>+ Part des sociétés mises en équivalence</t>
  </si>
  <si>
    <t>+ Résultat des activités abondonnées</t>
  </si>
  <si>
    <t>= Résultat net</t>
  </si>
  <si>
    <t>- Intérêts minoritaires</t>
  </si>
  <si>
    <t>= Résultat net part du groupe</t>
  </si>
  <si>
    <t>Tableau des flux de trésorerie</t>
  </si>
  <si>
    <t xml:space="preserve">Résultat net </t>
  </si>
  <si>
    <t>+ Dotation aux amortissements</t>
  </si>
  <si>
    <t>- Résultat mis en équivalence</t>
  </si>
  <si>
    <t>+ Dividendes reçus de sociétés mises en équivalence</t>
  </si>
  <si>
    <t>+ Charges et produits sans incidence sur la trésorerie</t>
  </si>
  <si>
    <t>= Capacité d’autofinancement</t>
  </si>
  <si>
    <t xml:space="preserve">- Variation du besoin en fonds de roulement </t>
  </si>
  <si>
    <t>= Flux d’exploitation (1)</t>
  </si>
  <si>
    <t>- Investissements industriels nets</t>
  </si>
  <si>
    <t>+ Produits nets des cessions</t>
  </si>
  <si>
    <t>+ Variation des prêts et avances</t>
  </si>
  <si>
    <t>+ Variations de périmètre et de %</t>
  </si>
  <si>
    <t>= Flux d'investissement (2)</t>
  </si>
  <si>
    <t>Flux de trésorerie disponible après charges financières (1)+(2)</t>
  </si>
  <si>
    <t>+ Augmentation (réduction) de capital</t>
  </si>
  <si>
    <t>- Dividendes</t>
  </si>
  <si>
    <t>= Réduction (augmentation) de l’endettement net</t>
  </si>
  <si>
    <t>Bilan</t>
  </si>
  <si>
    <t>Immobilisations incorporelles (goodwill)</t>
  </si>
  <si>
    <t>Immobilisations incorporelles (autres)</t>
  </si>
  <si>
    <t>+ Immobilisations corporelles</t>
  </si>
  <si>
    <t>+ Immobilisations financières</t>
  </si>
  <si>
    <t>+ Sociétés mise en équivalence</t>
  </si>
  <si>
    <t>= Actifs immobilisés (1)</t>
  </si>
  <si>
    <t>Stocks</t>
  </si>
  <si>
    <t>+ Clients</t>
  </si>
  <si>
    <t>+ Autres actifs d'exploitation</t>
  </si>
  <si>
    <t>- Fournisseurs</t>
  </si>
  <si>
    <t>- Autres dettes d'exploitation</t>
  </si>
  <si>
    <t>= Besoin en fonds de roulement (2)</t>
  </si>
  <si>
    <t>Actifs hors exploitation</t>
  </si>
  <si>
    <t>- Passifs hors exploitation (provisions non courantes)</t>
  </si>
  <si>
    <t>= BFR hors exploitation (3)</t>
  </si>
  <si>
    <t>Actif économique = (1)+(2)+(3)</t>
  </si>
  <si>
    <t>Capitaux propres part du groupe</t>
  </si>
  <si>
    <t>+ Intérêts minoritaires</t>
  </si>
  <si>
    <t>- Impôts différés actifs</t>
  </si>
  <si>
    <t>+ Impôts différés passifs</t>
  </si>
  <si>
    <t>= Capitaux propres (3)</t>
  </si>
  <si>
    <t>Dettes financières LT</t>
  </si>
  <si>
    <t>+ Valeur actuelle des engagements de retraite</t>
  </si>
  <si>
    <t>- Valeur des actifs de retraite</t>
  </si>
  <si>
    <t>+ Provisions dépollution</t>
  </si>
  <si>
    <t>+ Dettes financières CT</t>
  </si>
  <si>
    <t>- Trésorerie et équivalents de trésorerie</t>
  </si>
  <si>
    <t>= Endettement bancaire et financier net (4)</t>
  </si>
  <si>
    <t>Capitaux investis = (3)+(4)</t>
  </si>
  <si>
    <t>Paramètres</t>
  </si>
  <si>
    <t>taux de TVA</t>
  </si>
  <si>
    <t>Taux d'impôt</t>
  </si>
  <si>
    <t>Marché et métier de l'entreprise</t>
  </si>
  <si>
    <t>Création de richesse</t>
  </si>
  <si>
    <t>Chiffre d'affaire</t>
  </si>
  <si>
    <t xml:space="preserve">Croissance du chiffre d'affaire </t>
  </si>
  <si>
    <t xml:space="preserve">Charges d'exploitation </t>
  </si>
  <si>
    <t>Croissace des charges d'exploitation</t>
  </si>
  <si>
    <t>Marge d'exploitation (EBE en % du CA)</t>
  </si>
  <si>
    <t>part des sociétés mises en équivalence 
dans le résultat net part du groupe</t>
  </si>
  <si>
    <t>Question 9</t>
  </si>
  <si>
    <t>Les sociétés mise en équivalence ont une part non négligeable dans la formation du résultat net du groupe.</t>
  </si>
  <si>
    <t>Résultat net</t>
  </si>
  <si>
    <t>Croissance du résultat net</t>
  </si>
  <si>
    <t>Investissements</t>
  </si>
  <si>
    <t>Amortissements</t>
  </si>
  <si>
    <t>Produits des cessions</t>
  </si>
  <si>
    <t>Investissements net des cessions</t>
  </si>
  <si>
    <t xml:space="preserve">Etat des outils de production : 
Immobilisation corporelles nettes / Immobilisations brutes </t>
  </si>
  <si>
    <t>BFR d'exploitation</t>
  </si>
  <si>
    <t>Variation du BFR d'exploitation</t>
  </si>
  <si>
    <t xml:space="preserve">BFR d'exploitation en jours de chiffre en jours </t>
  </si>
  <si>
    <t>Question 11</t>
  </si>
  <si>
    <t xml:space="preserve">délai de paiement moyen des clients en jours </t>
  </si>
  <si>
    <t>Question 13</t>
  </si>
  <si>
    <t xml:space="preserve">délai de rotation des stocks en jours </t>
  </si>
  <si>
    <t>Question 15</t>
  </si>
  <si>
    <t>délai de paiement moyen des fournisseurs en jours</t>
  </si>
  <si>
    <t>Question 17</t>
  </si>
  <si>
    <t>Financement</t>
  </si>
  <si>
    <t>part à court terme de l’endettement bancaire et financier net</t>
  </si>
  <si>
    <t>Question 20</t>
  </si>
  <si>
    <t>ratio d’endettement net par rapport à l'EBE</t>
  </si>
  <si>
    <t>tel qu’il apparaît au bilan</t>
  </si>
  <si>
    <t>Question 22</t>
  </si>
  <si>
    <t>Est-ce que EPC est une société cyclique dans son activité et ses résultats ? L'étude de sa création de richesses que vous avez faite avant va vous aider à répondre à cette question.
Est-ce que l'activité de EPC peut elle être bouleversée par une innovation technologique brutale qui rendrait obsolete ses produits ou leur mode de production comme le smartphone a tué l'appareil photo ?
Si vous répondez oui à ces deux questions, le ratio critique dettes nettes / EBE que je vous ai indiqué dans les videos à 2,5 doit être abaissé significativement d'au moins 1 point d'EBE.
Si vous répondez non à ces deux questions, le ratio critique dettes nettes / EBE que je vous ai indiqué dans les videos à 2,5 peut être relevé d'au moins 1 point d'EBE.</t>
  </si>
  <si>
    <t>ratio corrigé d’endettement net par rapport à l'EBE</t>
  </si>
  <si>
    <t>sans tenir compte des provisions de dépollution, ni de la valeur actuelle des engagements de retraite, ni de la valeur des actifs de retraite</t>
  </si>
  <si>
    <t>Question 24</t>
  </si>
  <si>
    <t>Flux de trésorerie d’exploitation (1)</t>
  </si>
  <si>
    <t>Flux de trésorerie d'investissement (2)</t>
  </si>
  <si>
    <t>Réduction (augmentation) de l’endettement net</t>
  </si>
  <si>
    <t>Rentabilités</t>
  </si>
  <si>
    <t>rentabilité économique</t>
  </si>
  <si>
    <t xml:space="preserve">Corrigé des sociétés mises en équivalence </t>
  </si>
  <si>
    <t>Question 27</t>
  </si>
  <si>
    <t>rentabilité des capitaux propres du groupe</t>
  </si>
  <si>
    <t>rentabilité des capitaux propres des sociétés mises en équivalence</t>
  </si>
  <si>
    <t>Question 29</t>
  </si>
  <si>
    <t>rentabilité des capitaux propres part du groupe</t>
  </si>
  <si>
    <t>Question 31</t>
  </si>
  <si>
    <t>Question 10</t>
  </si>
  <si>
    <t>Question 12</t>
  </si>
  <si>
    <t>Question 13 (2013)</t>
  </si>
  <si>
    <t>Question 14 (2015)</t>
  </si>
  <si>
    <t>Question 15 (2014)</t>
  </si>
  <si>
    <t>Question 16 (2016)</t>
  </si>
  <si>
    <t>Question 18</t>
  </si>
  <si>
    <t>Question 19</t>
  </si>
  <si>
    <t>Question 21</t>
  </si>
  <si>
    <t>Question 23</t>
  </si>
  <si>
    <t>Question 25</t>
  </si>
  <si>
    <t>Question 28</t>
  </si>
  <si>
    <t>Question 30</t>
  </si>
  <si>
    <t>Question 32</t>
  </si>
  <si>
    <t>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</si>
</sst>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164" formatCode="#,##0_);\ \(#,##0\);&quot;-&quot;_);@_)"/>
    <numFmt numFmtId="165" formatCode="_-* #,##0.00\ _F_-;\-* #,##0.00\ _F_-;_-* &quot;-&quot;??\ _F_-;_-@_-"/>
    <numFmt numFmtId="166" formatCode="_-* #,##0\ _F_-;\-* #,##0\ _F_-;_-* &quot;-&quot;??\ _F_-;_-@_-"/>
    <numFmt numFmtId="167" formatCode="0.0%"/>
    <numFmt numFmtId="168" formatCode="#,##0\ _F"/>
    <numFmt numFmtId="169" formatCode="#,##0.000\ _F"/>
    <numFmt numFmtId="170" formatCode="0.00000"/>
    <numFmt numFmtId="171" formatCode="0.000"/>
    <numFmt numFmtId="172" formatCode="0.0000"/>
    <numFmt numFmtId="173" formatCode="_-* #,##0\ &quot;€&quot;_-;\-* #,##0\ &quot;€&quot;_-;_-* &quot;-&quot;??\ &quot;€&quot;_-;_-@_-"/>
    <numFmt numFmtId="174" formatCode="0.0"/>
    <numFmt numFmtId="175" formatCode="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0"/>
      <color indexed="57"/>
      <name val="Arial"/>
      <family val="2"/>
    </font>
    <font>
      <i/>
      <sz val="10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2" fillId="0" borderId="1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1" fillId="0" borderId="0" xfId="4" applyFont="1" applyAlignment="1">
      <alignment vertical="center"/>
    </xf>
    <xf numFmtId="0" fontId="3" fillId="0" borderId="0" xfId="4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NumberFormat="1" applyFont="1" applyFill="1" applyBorder="1" applyAlignment="1">
      <alignment horizontal="center" vertical="center"/>
    </xf>
    <xf numFmtId="0" fontId="3" fillId="0" borderId="0" xfId="4" applyFont="1" applyBorder="1" applyAlignment="1">
      <alignment vertical="center" wrapText="1"/>
    </xf>
    <xf numFmtId="166" fontId="3" fillId="0" borderId="0" xfId="1" applyNumberFormat="1" applyFont="1" applyAlignment="1">
      <alignment horizontal="center" vertical="center"/>
    </xf>
    <xf numFmtId="167" fontId="1" fillId="0" borderId="0" xfId="3" applyNumberFormat="1" applyFont="1" applyAlignment="1">
      <alignment vertical="center"/>
    </xf>
    <xf numFmtId="0" fontId="3" fillId="0" borderId="0" xfId="4" quotePrefix="1" applyFont="1" applyBorder="1" applyAlignment="1">
      <alignment vertical="center" wrapText="1"/>
    </xf>
    <xf numFmtId="9" fontId="3" fillId="0" borderId="0" xfId="3" applyFont="1" applyAlignment="1">
      <alignment horizontal="center" vertical="center"/>
    </xf>
    <xf numFmtId="0" fontId="4" fillId="0" borderId="3" xfId="4" quotePrefix="1" applyFont="1" applyBorder="1" applyAlignment="1">
      <alignment vertical="center" wrapText="1"/>
    </xf>
    <xf numFmtId="166" fontId="3" fillId="0" borderId="0" xfId="4" applyNumberFormat="1" applyFont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164" fontId="3" fillId="0" borderId="0" xfId="4" applyNumberFormat="1" applyFont="1" applyBorder="1" applyAlignment="1">
      <alignment horizontal="center" vertical="center"/>
    </xf>
    <xf numFmtId="164" fontId="4" fillId="0" borderId="0" xfId="4" applyNumberFormat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4" fillId="0" borderId="0" xfId="4" quotePrefix="1" applyFont="1" applyBorder="1" applyAlignment="1">
      <alignment vertical="center" wrapText="1"/>
    </xf>
    <xf numFmtId="168" fontId="4" fillId="0" borderId="0" xfId="4" applyNumberFormat="1" applyFont="1" applyBorder="1" applyAlignment="1">
      <alignment horizontal="center" vertical="center"/>
    </xf>
    <xf numFmtId="167" fontId="4" fillId="0" borderId="0" xfId="3" applyNumberFormat="1" applyFont="1" applyAlignment="1">
      <alignment vertical="center"/>
    </xf>
    <xf numFmtId="167" fontId="3" fillId="0" borderId="0" xfId="3" applyNumberFormat="1" applyFont="1" applyBorder="1" applyAlignment="1">
      <alignment horizontal="center" vertical="center"/>
    </xf>
    <xf numFmtId="0" fontId="3" fillId="0" borderId="0" xfId="4" applyFont="1" applyBorder="1" applyAlignment="1">
      <alignment horizontal="justify" vertical="center" wrapText="1"/>
    </xf>
    <xf numFmtId="0" fontId="3" fillId="0" borderId="0" xfId="4" applyFont="1" applyAlignment="1">
      <alignment vertical="center" wrapText="1"/>
    </xf>
    <xf numFmtId="1" fontId="3" fillId="0" borderId="0" xfId="4" applyNumberFormat="1" applyFont="1" applyBorder="1" applyAlignment="1">
      <alignment vertical="center"/>
    </xf>
    <xf numFmtId="169" fontId="3" fillId="0" borderId="0" xfId="4" applyNumberFormat="1" applyFont="1" applyAlignment="1">
      <alignment vertical="center"/>
    </xf>
    <xf numFmtId="164" fontId="3" fillId="0" borderId="0" xfId="4" applyNumberFormat="1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8" fontId="3" fillId="0" borderId="0" xfId="4" applyNumberFormat="1" applyFont="1" applyFill="1" applyAlignment="1">
      <alignment horizontal="center" vertical="center"/>
    </xf>
    <xf numFmtId="164" fontId="4" fillId="0" borderId="0" xfId="4" quotePrefix="1" applyNumberFormat="1" applyFont="1" applyFill="1" applyBorder="1" applyAlignment="1">
      <alignment horizontal="center" vertical="center"/>
    </xf>
    <xf numFmtId="0" fontId="4" fillId="0" borderId="3" xfId="4" applyFont="1" applyBorder="1" applyAlignment="1">
      <alignment vertical="center" wrapText="1"/>
    </xf>
    <xf numFmtId="0" fontId="3" fillId="0" borderId="1" xfId="4" quotePrefix="1" applyFont="1" applyBorder="1" applyAlignment="1">
      <alignment vertical="center" wrapText="1"/>
    </xf>
    <xf numFmtId="0" fontId="9" fillId="0" borderId="0" xfId="4" applyFont="1" applyBorder="1" applyAlignment="1">
      <alignment vertical="center" wrapText="1"/>
    </xf>
    <xf numFmtId="164" fontId="9" fillId="0" borderId="0" xfId="4" applyNumberFormat="1" applyFont="1" applyFill="1" applyBorder="1" applyAlignment="1">
      <alignment horizontal="center" vertical="center"/>
    </xf>
    <xf numFmtId="168" fontId="3" fillId="0" borderId="0" xfId="4" applyNumberFormat="1" applyFont="1" applyAlignment="1">
      <alignment vertical="center"/>
    </xf>
    <xf numFmtId="168" fontId="4" fillId="0" borderId="0" xfId="4" applyNumberFormat="1" applyFont="1" applyAlignment="1">
      <alignment horizontal="center" vertical="center"/>
    </xf>
    <xf numFmtId="170" fontId="3" fillId="0" borderId="0" xfId="4" applyNumberFormat="1" applyFont="1" applyAlignment="1">
      <alignment vertical="center"/>
    </xf>
    <xf numFmtId="168" fontId="3" fillId="0" borderId="0" xfId="4" applyNumberFormat="1" applyFont="1" applyAlignment="1">
      <alignment horizontal="center" vertical="center"/>
    </xf>
    <xf numFmtId="171" fontId="3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3" fontId="3" fillId="0" borderId="0" xfId="4" applyNumberFormat="1" applyFont="1" applyAlignment="1">
      <alignment vertical="center"/>
    </xf>
    <xf numFmtId="164" fontId="3" fillId="0" borderId="0" xfId="4" applyNumberFormat="1" applyFont="1" applyAlignment="1">
      <alignment horizontal="center" vertical="center"/>
    </xf>
    <xf numFmtId="0" fontId="1" fillId="0" borderId="0" xfId="4" applyFont="1" applyBorder="1" applyAlignment="1">
      <alignment vertical="center"/>
    </xf>
    <xf numFmtId="0" fontId="4" fillId="0" borderId="1" xfId="4" quotePrefix="1" applyFont="1" applyBorder="1" applyAlignment="1">
      <alignment vertical="center" wrapText="1"/>
    </xf>
    <xf numFmtId="0" fontId="1" fillId="0" borderId="4" xfId="4" applyFont="1" applyBorder="1" applyAlignment="1">
      <alignment vertical="center"/>
    </xf>
    <xf numFmtId="172" fontId="3" fillId="0" borderId="0" xfId="4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168" fontId="3" fillId="0" borderId="0" xfId="4" applyNumberFormat="1" applyFont="1" applyFill="1" applyBorder="1" applyAlignment="1">
      <alignment horizontal="center" vertical="center"/>
    </xf>
    <xf numFmtId="164" fontId="3" fillId="0" borderId="0" xfId="4" applyNumberFormat="1" applyFont="1" applyAlignment="1">
      <alignment vertical="center"/>
    </xf>
    <xf numFmtId="0" fontId="3" fillId="0" borderId="8" xfId="4" applyFont="1" applyBorder="1" applyAlignment="1">
      <alignment horizontal="center" vertical="center" wrapText="1"/>
    </xf>
    <xf numFmtId="0" fontId="3" fillId="0" borderId="9" xfId="4" applyFont="1" applyBorder="1" applyAlignment="1">
      <alignment vertical="center"/>
    </xf>
    <xf numFmtId="10" fontId="3" fillId="2" borderId="9" xfId="4" applyNumberFormat="1" applyFont="1" applyFill="1" applyBorder="1" applyAlignment="1">
      <alignment horizontal="center" vertical="center"/>
    </xf>
    <xf numFmtId="10" fontId="3" fillId="2" borderId="10" xfId="4" applyNumberFormat="1" applyFont="1" applyFill="1" applyBorder="1" applyAlignment="1">
      <alignment horizontal="center" vertical="center"/>
    </xf>
    <xf numFmtId="0" fontId="3" fillId="0" borderId="11" xfId="4" applyFont="1" applyBorder="1" applyAlignment="1">
      <alignment horizontal="center" vertical="center" wrapText="1"/>
    </xf>
    <xf numFmtId="0" fontId="3" fillId="0" borderId="12" xfId="4" applyFont="1" applyBorder="1" applyAlignment="1">
      <alignment vertical="center"/>
    </xf>
    <xf numFmtId="9" fontId="3" fillId="2" borderId="12" xfId="4" applyNumberFormat="1" applyFont="1" applyFill="1" applyBorder="1" applyAlignment="1">
      <alignment horizontal="center" vertical="center"/>
    </xf>
    <xf numFmtId="9" fontId="3" fillId="2" borderId="13" xfId="4" applyNumberFormat="1" applyFont="1" applyFill="1" applyBorder="1" applyAlignment="1">
      <alignment horizontal="center" vertical="center"/>
    </xf>
    <xf numFmtId="0" fontId="3" fillId="0" borderId="14" xfId="4" applyFont="1" applyBorder="1" applyAlignment="1">
      <alignment horizontal="center" vertical="center" wrapText="1"/>
    </xf>
    <xf numFmtId="0" fontId="3" fillId="0" borderId="15" xfId="4" applyFont="1" applyBorder="1" applyAlignment="1">
      <alignment vertical="center"/>
    </xf>
    <xf numFmtId="9" fontId="3" fillId="2" borderId="15" xfId="4" applyNumberFormat="1" applyFont="1" applyFill="1" applyBorder="1" applyAlignment="1">
      <alignment horizontal="center" vertical="center"/>
    </xf>
    <xf numFmtId="9" fontId="3" fillId="2" borderId="16" xfId="4" applyNumberFormat="1" applyFont="1" applyFill="1" applyBorder="1" applyAlignment="1">
      <alignment horizontal="center" vertical="center"/>
    </xf>
    <xf numFmtId="0" fontId="3" fillId="0" borderId="17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textRotation="90" wrapText="1"/>
    </xf>
    <xf numFmtId="0" fontId="3" fillId="0" borderId="18" xfId="4" applyFont="1" applyBorder="1" applyAlignment="1">
      <alignment horizontal="center" vertical="center" textRotation="90" wrapText="1"/>
    </xf>
    <xf numFmtId="0" fontId="3" fillId="0" borderId="19" xfId="4" applyFont="1" applyBorder="1" applyAlignment="1">
      <alignment vertical="center"/>
    </xf>
    <xf numFmtId="0" fontId="3" fillId="0" borderId="19" xfId="4" applyFont="1" applyBorder="1" applyAlignment="1">
      <alignment vertical="center" wrapText="1"/>
    </xf>
    <xf numFmtId="0" fontId="3" fillId="0" borderId="0" xfId="4" applyFont="1" applyAlignment="1">
      <alignment horizontal="left" vertical="center"/>
    </xf>
    <xf numFmtId="0" fontId="3" fillId="0" borderId="11" xfId="4" applyFont="1" applyBorder="1" applyAlignment="1">
      <alignment horizontal="center" vertical="center" textRotation="90" wrapText="1"/>
    </xf>
    <xf numFmtId="0" fontId="3" fillId="0" borderId="12" xfId="4" applyFont="1" applyBorder="1" applyAlignment="1">
      <alignment vertical="center" wrapText="1"/>
    </xf>
    <xf numFmtId="0" fontId="3" fillId="0" borderId="8" xfId="4" applyFont="1" applyBorder="1" applyAlignment="1">
      <alignment horizontal="center" vertical="center" textRotation="90"/>
    </xf>
    <xf numFmtId="0" fontId="3" fillId="0" borderId="18" xfId="4" applyFont="1" applyBorder="1" applyAlignment="1">
      <alignment horizontal="center" vertical="center" textRotation="90"/>
    </xf>
    <xf numFmtId="0" fontId="1" fillId="0" borderId="0" xfId="4" applyFont="1" applyAlignment="1">
      <alignment vertical="center" wrapText="1"/>
    </xf>
    <xf numFmtId="0" fontId="3" fillId="0" borderId="11" xfId="4" applyFont="1" applyBorder="1" applyAlignment="1">
      <alignment horizontal="center" vertical="center" textRotation="90"/>
    </xf>
    <xf numFmtId="0" fontId="3" fillId="3" borderId="9" xfId="4" applyFont="1" applyFill="1" applyBorder="1" applyAlignment="1">
      <alignment vertical="center"/>
    </xf>
    <xf numFmtId="0" fontId="3" fillId="0" borderId="21" xfId="4" applyFont="1" applyBorder="1" applyAlignment="1">
      <alignment horizontal="center" vertical="center" textRotation="90"/>
    </xf>
    <xf numFmtId="0" fontId="3" fillId="3" borderId="15" xfId="4" applyFont="1" applyFill="1" applyBorder="1" applyAlignment="1">
      <alignment vertical="center"/>
    </xf>
    <xf numFmtId="0" fontId="3" fillId="3" borderId="19" xfId="4" applyFont="1" applyFill="1" applyBorder="1" applyAlignment="1">
      <alignment vertical="center"/>
    </xf>
    <xf numFmtId="0" fontId="3" fillId="3" borderId="12" xfId="4" applyFont="1" applyFill="1" applyBorder="1" applyAlignment="1">
      <alignment vertical="center"/>
    </xf>
    <xf numFmtId="167" fontId="3" fillId="0" borderId="0" xfId="3" applyNumberFormat="1" applyFont="1" applyAlignment="1">
      <alignment vertical="center"/>
    </xf>
    <xf numFmtId="174" fontId="3" fillId="0" borderId="0" xfId="3" applyNumberFormat="1" applyFont="1" applyAlignment="1">
      <alignment vertical="center"/>
    </xf>
    <xf numFmtId="175" fontId="3" fillId="0" borderId="0" xfId="4" applyNumberFormat="1" applyFont="1" applyAlignment="1">
      <alignment vertical="center"/>
    </xf>
    <xf numFmtId="173" fontId="3" fillId="0" borderId="0" xfId="2" applyNumberFormat="1" applyFont="1" applyAlignment="1">
      <alignment vertical="center"/>
    </xf>
    <xf numFmtId="173" fontId="3" fillId="0" borderId="0" xfId="2" applyNumberFormat="1" applyFont="1" applyFill="1" applyBorder="1" applyAlignment="1">
      <alignment horizontal="center" vertical="center"/>
    </xf>
    <xf numFmtId="10" fontId="3" fillId="0" borderId="0" xfId="3" applyNumberFormat="1" applyFont="1" applyAlignment="1">
      <alignment vertical="center"/>
    </xf>
    <xf numFmtId="164" fontId="3" fillId="4" borderId="0" xfId="4" applyNumberFormat="1" applyFont="1" applyFill="1" applyBorder="1" applyAlignment="1">
      <alignment horizontal="center" vertical="center"/>
    </xf>
    <xf numFmtId="164" fontId="7" fillId="4" borderId="0" xfId="4" applyNumberFormat="1" applyFont="1" applyFill="1" applyBorder="1" applyAlignment="1">
      <alignment horizontal="center" vertical="center"/>
    </xf>
    <xf numFmtId="164" fontId="8" fillId="4" borderId="3" xfId="4" applyNumberFormat="1" applyFont="1" applyFill="1" applyBorder="1" applyAlignment="1">
      <alignment horizontal="center" vertical="center"/>
    </xf>
    <xf numFmtId="164" fontId="4" fillId="4" borderId="3" xfId="4" applyNumberFormat="1" applyFont="1" applyFill="1" applyBorder="1" applyAlignment="1">
      <alignment horizontal="center" vertical="center"/>
    </xf>
    <xf numFmtId="164" fontId="3" fillId="4" borderId="0" xfId="3" applyNumberFormat="1" applyFont="1" applyFill="1" applyBorder="1" applyAlignment="1">
      <alignment horizontal="center" vertical="center"/>
    </xf>
    <xf numFmtId="167" fontId="7" fillId="4" borderId="0" xfId="3" applyNumberFormat="1" applyFont="1" applyFill="1" applyBorder="1" applyAlignment="1">
      <alignment horizontal="center" vertical="center"/>
    </xf>
    <xf numFmtId="9" fontId="8" fillId="4" borderId="3" xfId="3" applyFont="1" applyFill="1" applyBorder="1" applyAlignment="1">
      <alignment horizontal="center" vertical="center"/>
    </xf>
    <xf numFmtId="167" fontId="8" fillId="4" borderId="3" xfId="3" applyNumberFormat="1" applyFont="1" applyFill="1" applyBorder="1" applyAlignment="1">
      <alignment horizontal="center" vertical="center"/>
    </xf>
    <xf numFmtId="167" fontId="8" fillId="4" borderId="4" xfId="3" applyNumberFormat="1" applyFont="1" applyFill="1" applyBorder="1" applyAlignment="1">
      <alignment horizontal="center" vertical="center"/>
    </xf>
    <xf numFmtId="167" fontId="7" fillId="4" borderId="3" xfId="3" applyNumberFormat="1" applyFont="1" applyFill="1" applyBorder="1" applyAlignment="1">
      <alignment horizontal="center" vertical="center"/>
    </xf>
    <xf numFmtId="167" fontId="8" fillId="4" borderId="1" xfId="3" applyNumberFormat="1" applyFont="1" applyFill="1" applyBorder="1" applyAlignment="1">
      <alignment horizontal="center" vertical="center"/>
    </xf>
    <xf numFmtId="164" fontId="4" fillId="4" borderId="3" xfId="4" quotePrefix="1" applyNumberFormat="1" applyFont="1" applyFill="1" applyBorder="1" applyAlignment="1">
      <alignment horizontal="center" vertical="center"/>
    </xf>
    <xf numFmtId="164" fontId="3" fillId="4" borderId="1" xfId="4" applyNumberFormat="1" applyFont="1" applyFill="1" applyBorder="1" applyAlignment="1">
      <alignment horizontal="center" vertical="center"/>
    </xf>
    <xf numFmtId="164" fontId="4" fillId="4" borderId="0" xfId="4" applyNumberFormat="1" applyFont="1" applyFill="1" applyBorder="1" applyAlignment="1">
      <alignment horizontal="center" vertical="center"/>
    </xf>
    <xf numFmtId="168" fontId="3" fillId="4" borderId="0" xfId="4" applyNumberFormat="1" applyFont="1" applyFill="1" applyBorder="1" applyAlignment="1">
      <alignment horizontal="center" vertical="center"/>
    </xf>
    <xf numFmtId="173" fontId="3" fillId="4" borderId="9" xfId="2" applyNumberFormat="1" applyFont="1" applyFill="1" applyBorder="1" applyAlignment="1">
      <alignment horizontal="center" vertical="center"/>
    </xf>
    <xf numFmtId="173" fontId="3" fillId="4" borderId="10" xfId="2" applyNumberFormat="1" applyFont="1" applyFill="1" applyBorder="1" applyAlignment="1">
      <alignment horizontal="center" vertical="center"/>
    </xf>
    <xf numFmtId="9" fontId="3" fillId="4" borderId="19" xfId="4" applyNumberFormat="1" applyFont="1" applyFill="1" applyBorder="1" applyAlignment="1">
      <alignment horizontal="center" vertical="center"/>
    </xf>
    <xf numFmtId="167" fontId="3" fillId="4" borderId="19" xfId="4" applyNumberFormat="1" applyFont="1" applyFill="1" applyBorder="1" applyAlignment="1">
      <alignment horizontal="center" vertical="center"/>
    </xf>
    <xf numFmtId="167" fontId="3" fillId="4" borderId="20" xfId="4" applyNumberFormat="1" applyFont="1" applyFill="1" applyBorder="1" applyAlignment="1">
      <alignment horizontal="center" vertical="center"/>
    </xf>
    <xf numFmtId="173" fontId="3" fillId="4" borderId="19" xfId="2" applyNumberFormat="1" applyFont="1" applyFill="1" applyBorder="1" applyAlignment="1">
      <alignment horizontal="center" vertical="center"/>
    </xf>
    <xf numFmtId="173" fontId="3" fillId="4" borderId="20" xfId="2" applyNumberFormat="1" applyFont="1" applyFill="1" applyBorder="1" applyAlignment="1">
      <alignment horizontal="center" vertical="center"/>
    </xf>
    <xf numFmtId="167" fontId="3" fillId="4" borderId="19" xfId="3" applyNumberFormat="1" applyFont="1" applyFill="1" applyBorder="1" applyAlignment="1">
      <alignment horizontal="center" vertical="center"/>
    </xf>
    <xf numFmtId="167" fontId="3" fillId="4" borderId="20" xfId="3" applyNumberFormat="1" applyFont="1" applyFill="1" applyBorder="1" applyAlignment="1">
      <alignment horizontal="center" vertical="center"/>
    </xf>
    <xf numFmtId="167" fontId="3" fillId="4" borderId="12" xfId="3" applyNumberFormat="1" applyFont="1" applyFill="1" applyBorder="1" applyAlignment="1">
      <alignment horizontal="center" vertical="center"/>
    </xf>
    <xf numFmtId="9" fontId="3" fillId="4" borderId="19" xfId="3" applyFont="1" applyFill="1" applyBorder="1" applyAlignment="1">
      <alignment horizontal="center" vertical="center"/>
    </xf>
    <xf numFmtId="9" fontId="3" fillId="4" borderId="20" xfId="3" applyFont="1" applyFill="1" applyBorder="1" applyAlignment="1">
      <alignment horizontal="center" vertical="center"/>
    </xf>
    <xf numFmtId="1" fontId="3" fillId="4" borderId="19" xfId="4" applyNumberFormat="1" applyFont="1" applyFill="1" applyBorder="1" applyAlignment="1">
      <alignment horizontal="center" vertical="center"/>
    </xf>
    <xf numFmtId="1" fontId="3" fillId="4" borderId="20" xfId="4" applyNumberFormat="1" applyFont="1" applyFill="1" applyBorder="1" applyAlignment="1">
      <alignment horizontal="center" vertical="center"/>
    </xf>
    <xf numFmtId="1" fontId="3" fillId="4" borderId="12" xfId="4" applyNumberFormat="1" applyFont="1" applyFill="1" applyBorder="1" applyAlignment="1">
      <alignment horizontal="center" vertical="center"/>
    </xf>
    <xf numFmtId="1" fontId="3" fillId="4" borderId="13" xfId="4" applyNumberFormat="1" applyFont="1" applyFill="1" applyBorder="1" applyAlignment="1">
      <alignment horizontal="center" vertical="center"/>
    </xf>
    <xf numFmtId="167" fontId="3" fillId="4" borderId="9" xfId="3" applyNumberFormat="1" applyFont="1" applyFill="1" applyBorder="1" applyAlignment="1">
      <alignment horizontal="center" vertical="center"/>
    </xf>
    <xf numFmtId="167" fontId="3" fillId="4" borderId="10" xfId="3" applyNumberFormat="1" applyFont="1" applyFill="1" applyBorder="1" applyAlignment="1">
      <alignment horizontal="center" vertical="center"/>
    </xf>
    <xf numFmtId="174" fontId="3" fillId="4" borderId="19" xfId="3" applyNumberFormat="1" applyFont="1" applyFill="1" applyBorder="1" applyAlignment="1">
      <alignment horizontal="center" vertical="center"/>
    </xf>
    <xf numFmtId="174" fontId="3" fillId="4" borderId="20" xfId="3" applyNumberFormat="1" applyFont="1" applyFill="1" applyBorder="1" applyAlignment="1">
      <alignment horizontal="center" vertical="center"/>
    </xf>
    <xf numFmtId="174" fontId="3" fillId="4" borderId="19" xfId="4" applyNumberFormat="1" applyFont="1" applyFill="1" applyBorder="1" applyAlignment="1">
      <alignment horizontal="center" vertical="center"/>
    </xf>
    <xf numFmtId="174" fontId="3" fillId="4" borderId="20" xfId="4" applyNumberFormat="1" applyFont="1" applyFill="1" applyBorder="1" applyAlignment="1">
      <alignment horizontal="center" vertical="center"/>
    </xf>
    <xf numFmtId="173" fontId="3" fillId="4" borderId="12" xfId="2" applyNumberFormat="1" applyFont="1" applyFill="1" applyBorder="1" applyAlignment="1">
      <alignment horizontal="center" vertical="center"/>
    </xf>
    <xf numFmtId="173" fontId="3" fillId="4" borderId="13" xfId="2" applyNumberFormat="1" applyFont="1" applyFill="1" applyBorder="1" applyAlignment="1">
      <alignment horizontal="center" vertical="center"/>
    </xf>
    <xf numFmtId="167" fontId="3" fillId="4" borderId="15" xfId="3" applyNumberFormat="1" applyFont="1" applyFill="1" applyBorder="1" applyAlignment="1">
      <alignment horizontal="center" vertical="center"/>
    </xf>
    <xf numFmtId="167" fontId="3" fillId="4" borderId="16" xfId="3" applyNumberFormat="1" applyFont="1" applyFill="1" applyBorder="1" applyAlignment="1">
      <alignment horizontal="center" vertical="center"/>
    </xf>
    <xf numFmtId="167" fontId="3" fillId="4" borderId="13" xfId="3" applyNumberFormat="1" applyFont="1" applyFill="1" applyBorder="1" applyAlignment="1">
      <alignment horizontal="center" vertical="center"/>
    </xf>
    <xf numFmtId="0" fontId="6" fillId="5" borderId="0" xfId="4" applyFont="1" applyFill="1" applyBorder="1" applyAlignment="1">
      <alignment vertical="center"/>
    </xf>
    <xf numFmtId="0" fontId="6" fillId="5" borderId="2" xfId="4" applyNumberFormat="1" applyFont="1" applyFill="1" applyBorder="1" applyAlignment="1">
      <alignment horizontal="center" vertical="center"/>
    </xf>
    <xf numFmtId="0" fontId="6" fillId="5" borderId="0" xfId="4" applyNumberFormat="1" applyFont="1" applyFill="1" applyBorder="1" applyAlignment="1">
      <alignment horizontal="center" vertical="center"/>
    </xf>
    <xf numFmtId="0" fontId="6" fillId="5" borderId="5" xfId="4" applyNumberFormat="1" applyFont="1" applyFill="1" applyBorder="1" applyAlignment="1">
      <alignment horizontal="center" vertical="center"/>
    </xf>
    <xf numFmtId="0" fontId="6" fillId="5" borderId="6" xfId="4" applyNumberFormat="1" applyFont="1" applyFill="1" applyBorder="1" applyAlignment="1">
      <alignment horizontal="center" vertical="center"/>
    </xf>
    <xf numFmtId="0" fontId="6" fillId="5" borderId="7" xfId="4" applyNumberFormat="1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AO155"/>
  <sheetViews>
    <sheetView showGridLines="0" tabSelected="1" zoomScale="70" zoomScaleNormal="70" zoomScalePageLayoutView="80" workbookViewId="0">
      <selection activeCell="C89" sqref="C89"/>
    </sheetView>
  </sheetViews>
  <sheetFormatPr defaultColWidth="11.42578125" defaultRowHeight="23.25" customHeight="1" outlineLevelRow="1" outlineLevelCol="1" x14ac:dyDescent="0.25"/>
  <cols>
    <col min="1" max="1" width="3.7109375" style="5" customWidth="1"/>
    <col min="2" max="2" width="8.28515625" style="5" customWidth="1"/>
    <col min="3" max="3" width="68.140625" style="3" customWidth="1"/>
    <col min="4" max="6" width="12.5703125" style="3" customWidth="1"/>
    <col min="7" max="8" width="12.5703125" style="4" customWidth="1"/>
    <col min="9" max="10" width="13.42578125" style="4" hidden="1" customWidth="1" outlineLevel="1"/>
    <col min="11" max="11" width="13.42578125" style="4" customWidth="1" collapsed="1"/>
    <col min="12" max="12" width="77.28515625" style="3" customWidth="1"/>
    <col min="13" max="15" width="12.140625" style="3" customWidth="1"/>
    <col min="16" max="17" width="12.140625" style="5" customWidth="1"/>
    <col min="18" max="260" width="11.42578125" style="5"/>
    <col min="261" max="261" width="72" style="5" customWidth="1"/>
    <col min="262" max="266" width="12.28515625" style="5" customWidth="1"/>
    <col min="267" max="267" width="13.42578125" style="5" customWidth="1"/>
    <col min="268" max="268" width="72.140625" style="5" customWidth="1"/>
    <col min="269" max="269" width="13.7109375" style="5" customWidth="1"/>
    <col min="270" max="516" width="11.42578125" style="5"/>
    <col min="517" max="517" width="72" style="5" customWidth="1"/>
    <col min="518" max="522" width="12.28515625" style="5" customWidth="1"/>
    <col min="523" max="523" width="13.42578125" style="5" customWidth="1"/>
    <col min="524" max="524" width="72.140625" style="5" customWidth="1"/>
    <col min="525" max="525" width="13.7109375" style="5" customWidth="1"/>
    <col min="526" max="772" width="11.42578125" style="5"/>
    <col min="773" max="773" width="72" style="5" customWidth="1"/>
    <col min="774" max="778" width="12.28515625" style="5" customWidth="1"/>
    <col min="779" max="779" width="13.42578125" style="5" customWidth="1"/>
    <col min="780" max="780" width="72.140625" style="5" customWidth="1"/>
    <col min="781" max="781" width="13.7109375" style="5" customWidth="1"/>
    <col min="782" max="1028" width="11.42578125" style="5"/>
    <col min="1029" max="1029" width="72" style="5" customWidth="1"/>
    <col min="1030" max="1034" width="12.28515625" style="5" customWidth="1"/>
    <col min="1035" max="1035" width="13.42578125" style="5" customWidth="1"/>
    <col min="1036" max="1036" width="72.140625" style="5" customWidth="1"/>
    <col min="1037" max="1037" width="13.7109375" style="5" customWidth="1"/>
    <col min="1038" max="1284" width="11.42578125" style="5"/>
    <col min="1285" max="1285" width="72" style="5" customWidth="1"/>
    <col min="1286" max="1290" width="12.28515625" style="5" customWidth="1"/>
    <col min="1291" max="1291" width="13.42578125" style="5" customWidth="1"/>
    <col min="1292" max="1292" width="72.140625" style="5" customWidth="1"/>
    <col min="1293" max="1293" width="13.7109375" style="5" customWidth="1"/>
    <col min="1294" max="1540" width="11.42578125" style="5"/>
    <col min="1541" max="1541" width="72" style="5" customWidth="1"/>
    <col min="1542" max="1546" width="12.28515625" style="5" customWidth="1"/>
    <col min="1547" max="1547" width="13.42578125" style="5" customWidth="1"/>
    <col min="1548" max="1548" width="72.140625" style="5" customWidth="1"/>
    <col min="1549" max="1549" width="13.7109375" style="5" customWidth="1"/>
    <col min="1550" max="1796" width="11.42578125" style="5"/>
    <col min="1797" max="1797" width="72" style="5" customWidth="1"/>
    <col min="1798" max="1802" width="12.28515625" style="5" customWidth="1"/>
    <col min="1803" max="1803" width="13.42578125" style="5" customWidth="1"/>
    <col min="1804" max="1804" width="72.140625" style="5" customWidth="1"/>
    <col min="1805" max="1805" width="13.7109375" style="5" customWidth="1"/>
    <col min="1806" max="2052" width="11.42578125" style="5"/>
    <col min="2053" max="2053" width="72" style="5" customWidth="1"/>
    <col min="2054" max="2058" width="12.28515625" style="5" customWidth="1"/>
    <col min="2059" max="2059" width="13.42578125" style="5" customWidth="1"/>
    <col min="2060" max="2060" width="72.140625" style="5" customWidth="1"/>
    <col min="2061" max="2061" width="13.7109375" style="5" customWidth="1"/>
    <col min="2062" max="2308" width="11.42578125" style="5"/>
    <col min="2309" max="2309" width="72" style="5" customWidth="1"/>
    <col min="2310" max="2314" width="12.28515625" style="5" customWidth="1"/>
    <col min="2315" max="2315" width="13.42578125" style="5" customWidth="1"/>
    <col min="2316" max="2316" width="72.140625" style="5" customWidth="1"/>
    <col min="2317" max="2317" width="13.7109375" style="5" customWidth="1"/>
    <col min="2318" max="2564" width="11.42578125" style="5"/>
    <col min="2565" max="2565" width="72" style="5" customWidth="1"/>
    <col min="2566" max="2570" width="12.28515625" style="5" customWidth="1"/>
    <col min="2571" max="2571" width="13.42578125" style="5" customWidth="1"/>
    <col min="2572" max="2572" width="72.140625" style="5" customWidth="1"/>
    <col min="2573" max="2573" width="13.7109375" style="5" customWidth="1"/>
    <col min="2574" max="2820" width="11.42578125" style="5"/>
    <col min="2821" max="2821" width="72" style="5" customWidth="1"/>
    <col min="2822" max="2826" width="12.28515625" style="5" customWidth="1"/>
    <col min="2827" max="2827" width="13.42578125" style="5" customWidth="1"/>
    <col min="2828" max="2828" width="72.140625" style="5" customWidth="1"/>
    <col min="2829" max="2829" width="13.7109375" style="5" customWidth="1"/>
    <col min="2830" max="3076" width="11.42578125" style="5"/>
    <col min="3077" max="3077" width="72" style="5" customWidth="1"/>
    <col min="3078" max="3082" width="12.28515625" style="5" customWidth="1"/>
    <col min="3083" max="3083" width="13.42578125" style="5" customWidth="1"/>
    <col min="3084" max="3084" width="72.140625" style="5" customWidth="1"/>
    <col min="3085" max="3085" width="13.7109375" style="5" customWidth="1"/>
    <col min="3086" max="3332" width="11.42578125" style="5"/>
    <col min="3333" max="3333" width="72" style="5" customWidth="1"/>
    <col min="3334" max="3338" width="12.28515625" style="5" customWidth="1"/>
    <col min="3339" max="3339" width="13.42578125" style="5" customWidth="1"/>
    <col min="3340" max="3340" width="72.140625" style="5" customWidth="1"/>
    <col min="3341" max="3341" width="13.7109375" style="5" customWidth="1"/>
    <col min="3342" max="3588" width="11.42578125" style="5"/>
    <col min="3589" max="3589" width="72" style="5" customWidth="1"/>
    <col min="3590" max="3594" width="12.28515625" style="5" customWidth="1"/>
    <col min="3595" max="3595" width="13.42578125" style="5" customWidth="1"/>
    <col min="3596" max="3596" width="72.140625" style="5" customWidth="1"/>
    <col min="3597" max="3597" width="13.7109375" style="5" customWidth="1"/>
    <col min="3598" max="3844" width="11.42578125" style="5"/>
    <col min="3845" max="3845" width="72" style="5" customWidth="1"/>
    <col min="3846" max="3850" width="12.28515625" style="5" customWidth="1"/>
    <col min="3851" max="3851" width="13.42578125" style="5" customWidth="1"/>
    <col min="3852" max="3852" width="72.140625" style="5" customWidth="1"/>
    <col min="3853" max="3853" width="13.7109375" style="5" customWidth="1"/>
    <col min="3854" max="4100" width="11.42578125" style="5"/>
    <col min="4101" max="4101" width="72" style="5" customWidth="1"/>
    <col min="4102" max="4106" width="12.28515625" style="5" customWidth="1"/>
    <col min="4107" max="4107" width="13.42578125" style="5" customWidth="1"/>
    <col min="4108" max="4108" width="72.140625" style="5" customWidth="1"/>
    <col min="4109" max="4109" width="13.7109375" style="5" customWidth="1"/>
    <col min="4110" max="4356" width="11.42578125" style="5"/>
    <col min="4357" max="4357" width="72" style="5" customWidth="1"/>
    <col min="4358" max="4362" width="12.28515625" style="5" customWidth="1"/>
    <col min="4363" max="4363" width="13.42578125" style="5" customWidth="1"/>
    <col min="4364" max="4364" width="72.140625" style="5" customWidth="1"/>
    <col min="4365" max="4365" width="13.7109375" style="5" customWidth="1"/>
    <col min="4366" max="4612" width="11.42578125" style="5"/>
    <col min="4613" max="4613" width="72" style="5" customWidth="1"/>
    <col min="4614" max="4618" width="12.28515625" style="5" customWidth="1"/>
    <col min="4619" max="4619" width="13.42578125" style="5" customWidth="1"/>
    <col min="4620" max="4620" width="72.140625" style="5" customWidth="1"/>
    <col min="4621" max="4621" width="13.7109375" style="5" customWidth="1"/>
    <col min="4622" max="4868" width="11.42578125" style="5"/>
    <col min="4869" max="4869" width="72" style="5" customWidth="1"/>
    <col min="4870" max="4874" width="12.28515625" style="5" customWidth="1"/>
    <col min="4875" max="4875" width="13.42578125" style="5" customWidth="1"/>
    <col min="4876" max="4876" width="72.140625" style="5" customWidth="1"/>
    <col min="4877" max="4877" width="13.7109375" style="5" customWidth="1"/>
    <col min="4878" max="5124" width="11.42578125" style="5"/>
    <col min="5125" max="5125" width="72" style="5" customWidth="1"/>
    <col min="5126" max="5130" width="12.28515625" style="5" customWidth="1"/>
    <col min="5131" max="5131" width="13.42578125" style="5" customWidth="1"/>
    <col min="5132" max="5132" width="72.140625" style="5" customWidth="1"/>
    <col min="5133" max="5133" width="13.7109375" style="5" customWidth="1"/>
    <col min="5134" max="5380" width="11.42578125" style="5"/>
    <col min="5381" max="5381" width="72" style="5" customWidth="1"/>
    <col min="5382" max="5386" width="12.28515625" style="5" customWidth="1"/>
    <col min="5387" max="5387" width="13.42578125" style="5" customWidth="1"/>
    <col min="5388" max="5388" width="72.140625" style="5" customWidth="1"/>
    <col min="5389" max="5389" width="13.7109375" style="5" customWidth="1"/>
    <col min="5390" max="5636" width="11.42578125" style="5"/>
    <col min="5637" max="5637" width="72" style="5" customWidth="1"/>
    <col min="5638" max="5642" width="12.28515625" style="5" customWidth="1"/>
    <col min="5643" max="5643" width="13.42578125" style="5" customWidth="1"/>
    <col min="5644" max="5644" width="72.140625" style="5" customWidth="1"/>
    <col min="5645" max="5645" width="13.7109375" style="5" customWidth="1"/>
    <col min="5646" max="5892" width="11.42578125" style="5"/>
    <col min="5893" max="5893" width="72" style="5" customWidth="1"/>
    <col min="5894" max="5898" width="12.28515625" style="5" customWidth="1"/>
    <col min="5899" max="5899" width="13.42578125" style="5" customWidth="1"/>
    <col min="5900" max="5900" width="72.140625" style="5" customWidth="1"/>
    <col min="5901" max="5901" width="13.7109375" style="5" customWidth="1"/>
    <col min="5902" max="6148" width="11.42578125" style="5"/>
    <col min="6149" max="6149" width="72" style="5" customWidth="1"/>
    <col min="6150" max="6154" width="12.28515625" style="5" customWidth="1"/>
    <col min="6155" max="6155" width="13.42578125" style="5" customWidth="1"/>
    <col min="6156" max="6156" width="72.140625" style="5" customWidth="1"/>
    <col min="6157" max="6157" width="13.7109375" style="5" customWidth="1"/>
    <col min="6158" max="6404" width="11.42578125" style="5"/>
    <col min="6405" max="6405" width="72" style="5" customWidth="1"/>
    <col min="6406" max="6410" width="12.28515625" style="5" customWidth="1"/>
    <col min="6411" max="6411" width="13.42578125" style="5" customWidth="1"/>
    <col min="6412" max="6412" width="72.140625" style="5" customWidth="1"/>
    <col min="6413" max="6413" width="13.7109375" style="5" customWidth="1"/>
    <col min="6414" max="6660" width="11.42578125" style="5"/>
    <col min="6661" max="6661" width="72" style="5" customWidth="1"/>
    <col min="6662" max="6666" width="12.28515625" style="5" customWidth="1"/>
    <col min="6667" max="6667" width="13.42578125" style="5" customWidth="1"/>
    <col min="6668" max="6668" width="72.140625" style="5" customWidth="1"/>
    <col min="6669" max="6669" width="13.7109375" style="5" customWidth="1"/>
    <col min="6670" max="6916" width="11.42578125" style="5"/>
    <col min="6917" max="6917" width="72" style="5" customWidth="1"/>
    <col min="6918" max="6922" width="12.28515625" style="5" customWidth="1"/>
    <col min="6923" max="6923" width="13.42578125" style="5" customWidth="1"/>
    <col min="6924" max="6924" width="72.140625" style="5" customWidth="1"/>
    <col min="6925" max="6925" width="13.7109375" style="5" customWidth="1"/>
    <col min="6926" max="7172" width="11.42578125" style="5"/>
    <col min="7173" max="7173" width="72" style="5" customWidth="1"/>
    <col min="7174" max="7178" width="12.28515625" style="5" customWidth="1"/>
    <col min="7179" max="7179" width="13.42578125" style="5" customWidth="1"/>
    <col min="7180" max="7180" width="72.140625" style="5" customWidth="1"/>
    <col min="7181" max="7181" width="13.7109375" style="5" customWidth="1"/>
    <col min="7182" max="7428" width="11.42578125" style="5"/>
    <col min="7429" max="7429" width="72" style="5" customWidth="1"/>
    <col min="7430" max="7434" width="12.28515625" style="5" customWidth="1"/>
    <col min="7435" max="7435" width="13.42578125" style="5" customWidth="1"/>
    <col min="7436" max="7436" width="72.140625" style="5" customWidth="1"/>
    <col min="7437" max="7437" width="13.7109375" style="5" customWidth="1"/>
    <col min="7438" max="7684" width="11.42578125" style="5"/>
    <col min="7685" max="7685" width="72" style="5" customWidth="1"/>
    <col min="7686" max="7690" width="12.28515625" style="5" customWidth="1"/>
    <col min="7691" max="7691" width="13.42578125" style="5" customWidth="1"/>
    <col min="7692" max="7692" width="72.140625" style="5" customWidth="1"/>
    <col min="7693" max="7693" width="13.7109375" style="5" customWidth="1"/>
    <col min="7694" max="7940" width="11.42578125" style="5"/>
    <col min="7941" max="7941" width="72" style="5" customWidth="1"/>
    <col min="7942" max="7946" width="12.28515625" style="5" customWidth="1"/>
    <col min="7947" max="7947" width="13.42578125" style="5" customWidth="1"/>
    <col min="7948" max="7948" width="72.140625" style="5" customWidth="1"/>
    <col min="7949" max="7949" width="13.7109375" style="5" customWidth="1"/>
    <col min="7950" max="8196" width="11.42578125" style="5"/>
    <col min="8197" max="8197" width="72" style="5" customWidth="1"/>
    <col min="8198" max="8202" width="12.28515625" style="5" customWidth="1"/>
    <col min="8203" max="8203" width="13.42578125" style="5" customWidth="1"/>
    <col min="8204" max="8204" width="72.140625" style="5" customWidth="1"/>
    <col min="8205" max="8205" width="13.7109375" style="5" customWidth="1"/>
    <col min="8206" max="8452" width="11.42578125" style="5"/>
    <col min="8453" max="8453" width="72" style="5" customWidth="1"/>
    <col min="8454" max="8458" width="12.28515625" style="5" customWidth="1"/>
    <col min="8459" max="8459" width="13.42578125" style="5" customWidth="1"/>
    <col min="8460" max="8460" width="72.140625" style="5" customWidth="1"/>
    <col min="8461" max="8461" width="13.7109375" style="5" customWidth="1"/>
    <col min="8462" max="8708" width="11.42578125" style="5"/>
    <col min="8709" max="8709" width="72" style="5" customWidth="1"/>
    <col min="8710" max="8714" width="12.28515625" style="5" customWidth="1"/>
    <col min="8715" max="8715" width="13.42578125" style="5" customWidth="1"/>
    <col min="8716" max="8716" width="72.140625" style="5" customWidth="1"/>
    <col min="8717" max="8717" width="13.7109375" style="5" customWidth="1"/>
    <col min="8718" max="8964" width="11.42578125" style="5"/>
    <col min="8965" max="8965" width="72" style="5" customWidth="1"/>
    <col min="8966" max="8970" width="12.28515625" style="5" customWidth="1"/>
    <col min="8971" max="8971" width="13.42578125" style="5" customWidth="1"/>
    <col min="8972" max="8972" width="72.140625" style="5" customWidth="1"/>
    <col min="8973" max="8973" width="13.7109375" style="5" customWidth="1"/>
    <col min="8974" max="9220" width="11.42578125" style="5"/>
    <col min="9221" max="9221" width="72" style="5" customWidth="1"/>
    <col min="9222" max="9226" width="12.28515625" style="5" customWidth="1"/>
    <col min="9227" max="9227" width="13.42578125" style="5" customWidth="1"/>
    <col min="9228" max="9228" width="72.140625" style="5" customWidth="1"/>
    <col min="9229" max="9229" width="13.7109375" style="5" customWidth="1"/>
    <col min="9230" max="9476" width="11.42578125" style="5"/>
    <col min="9477" max="9477" width="72" style="5" customWidth="1"/>
    <col min="9478" max="9482" width="12.28515625" style="5" customWidth="1"/>
    <col min="9483" max="9483" width="13.42578125" style="5" customWidth="1"/>
    <col min="9484" max="9484" width="72.140625" style="5" customWidth="1"/>
    <col min="9485" max="9485" width="13.7109375" style="5" customWidth="1"/>
    <col min="9486" max="9732" width="11.42578125" style="5"/>
    <col min="9733" max="9733" width="72" style="5" customWidth="1"/>
    <col min="9734" max="9738" width="12.28515625" style="5" customWidth="1"/>
    <col min="9739" max="9739" width="13.42578125" style="5" customWidth="1"/>
    <col min="9740" max="9740" width="72.140625" style="5" customWidth="1"/>
    <col min="9741" max="9741" width="13.7109375" style="5" customWidth="1"/>
    <col min="9742" max="9988" width="11.42578125" style="5"/>
    <col min="9989" max="9989" width="72" style="5" customWidth="1"/>
    <col min="9990" max="9994" width="12.28515625" style="5" customWidth="1"/>
    <col min="9995" max="9995" width="13.42578125" style="5" customWidth="1"/>
    <col min="9996" max="9996" width="72.140625" style="5" customWidth="1"/>
    <col min="9997" max="9997" width="13.7109375" style="5" customWidth="1"/>
    <col min="9998" max="10244" width="11.42578125" style="5"/>
    <col min="10245" max="10245" width="72" style="5" customWidth="1"/>
    <col min="10246" max="10250" width="12.28515625" style="5" customWidth="1"/>
    <col min="10251" max="10251" width="13.42578125" style="5" customWidth="1"/>
    <col min="10252" max="10252" width="72.140625" style="5" customWidth="1"/>
    <col min="10253" max="10253" width="13.7109375" style="5" customWidth="1"/>
    <col min="10254" max="10500" width="11.42578125" style="5"/>
    <col min="10501" max="10501" width="72" style="5" customWidth="1"/>
    <col min="10502" max="10506" width="12.28515625" style="5" customWidth="1"/>
    <col min="10507" max="10507" width="13.42578125" style="5" customWidth="1"/>
    <col min="10508" max="10508" width="72.140625" style="5" customWidth="1"/>
    <col min="10509" max="10509" width="13.7109375" style="5" customWidth="1"/>
    <col min="10510" max="10756" width="11.42578125" style="5"/>
    <col min="10757" max="10757" width="72" style="5" customWidth="1"/>
    <col min="10758" max="10762" width="12.28515625" style="5" customWidth="1"/>
    <col min="10763" max="10763" width="13.42578125" style="5" customWidth="1"/>
    <col min="10764" max="10764" width="72.140625" style="5" customWidth="1"/>
    <col min="10765" max="10765" width="13.7109375" style="5" customWidth="1"/>
    <col min="10766" max="11012" width="11.42578125" style="5"/>
    <col min="11013" max="11013" width="72" style="5" customWidth="1"/>
    <col min="11014" max="11018" width="12.28515625" style="5" customWidth="1"/>
    <col min="11019" max="11019" width="13.42578125" style="5" customWidth="1"/>
    <col min="11020" max="11020" width="72.140625" style="5" customWidth="1"/>
    <col min="11021" max="11021" width="13.7109375" style="5" customWidth="1"/>
    <col min="11022" max="11268" width="11.42578125" style="5"/>
    <col min="11269" max="11269" width="72" style="5" customWidth="1"/>
    <col min="11270" max="11274" width="12.28515625" style="5" customWidth="1"/>
    <col min="11275" max="11275" width="13.42578125" style="5" customWidth="1"/>
    <col min="11276" max="11276" width="72.140625" style="5" customWidth="1"/>
    <col min="11277" max="11277" width="13.7109375" style="5" customWidth="1"/>
    <col min="11278" max="11524" width="11.42578125" style="5"/>
    <col min="11525" max="11525" width="72" style="5" customWidth="1"/>
    <col min="11526" max="11530" width="12.28515625" style="5" customWidth="1"/>
    <col min="11531" max="11531" width="13.42578125" style="5" customWidth="1"/>
    <col min="11532" max="11532" width="72.140625" style="5" customWidth="1"/>
    <col min="11533" max="11533" width="13.7109375" style="5" customWidth="1"/>
    <col min="11534" max="11780" width="11.42578125" style="5"/>
    <col min="11781" max="11781" width="72" style="5" customWidth="1"/>
    <col min="11782" max="11786" width="12.28515625" style="5" customWidth="1"/>
    <col min="11787" max="11787" width="13.42578125" style="5" customWidth="1"/>
    <col min="11788" max="11788" width="72.140625" style="5" customWidth="1"/>
    <col min="11789" max="11789" width="13.7109375" style="5" customWidth="1"/>
    <col min="11790" max="12036" width="11.42578125" style="5"/>
    <col min="12037" max="12037" width="72" style="5" customWidth="1"/>
    <col min="12038" max="12042" width="12.28515625" style="5" customWidth="1"/>
    <col min="12043" max="12043" width="13.42578125" style="5" customWidth="1"/>
    <col min="12044" max="12044" width="72.140625" style="5" customWidth="1"/>
    <col min="12045" max="12045" width="13.7109375" style="5" customWidth="1"/>
    <col min="12046" max="12292" width="11.42578125" style="5"/>
    <col min="12293" max="12293" width="72" style="5" customWidth="1"/>
    <col min="12294" max="12298" width="12.28515625" style="5" customWidth="1"/>
    <col min="12299" max="12299" width="13.42578125" style="5" customWidth="1"/>
    <col min="12300" max="12300" width="72.140625" style="5" customWidth="1"/>
    <col min="12301" max="12301" width="13.7109375" style="5" customWidth="1"/>
    <col min="12302" max="12548" width="11.42578125" style="5"/>
    <col min="12549" max="12549" width="72" style="5" customWidth="1"/>
    <col min="12550" max="12554" width="12.28515625" style="5" customWidth="1"/>
    <col min="12555" max="12555" width="13.42578125" style="5" customWidth="1"/>
    <col min="12556" max="12556" width="72.140625" style="5" customWidth="1"/>
    <col min="12557" max="12557" width="13.7109375" style="5" customWidth="1"/>
    <col min="12558" max="12804" width="11.42578125" style="5"/>
    <col min="12805" max="12805" width="72" style="5" customWidth="1"/>
    <col min="12806" max="12810" width="12.28515625" style="5" customWidth="1"/>
    <col min="12811" max="12811" width="13.42578125" style="5" customWidth="1"/>
    <col min="12812" max="12812" width="72.140625" style="5" customWidth="1"/>
    <col min="12813" max="12813" width="13.7109375" style="5" customWidth="1"/>
    <col min="12814" max="13060" width="11.42578125" style="5"/>
    <col min="13061" max="13061" width="72" style="5" customWidth="1"/>
    <col min="13062" max="13066" width="12.28515625" style="5" customWidth="1"/>
    <col min="13067" max="13067" width="13.42578125" style="5" customWidth="1"/>
    <col min="13068" max="13068" width="72.140625" style="5" customWidth="1"/>
    <col min="13069" max="13069" width="13.7109375" style="5" customWidth="1"/>
    <col min="13070" max="13316" width="11.42578125" style="5"/>
    <col min="13317" max="13317" width="72" style="5" customWidth="1"/>
    <col min="13318" max="13322" width="12.28515625" style="5" customWidth="1"/>
    <col min="13323" max="13323" width="13.42578125" style="5" customWidth="1"/>
    <col min="13324" max="13324" width="72.140625" style="5" customWidth="1"/>
    <col min="13325" max="13325" width="13.7109375" style="5" customWidth="1"/>
    <col min="13326" max="13572" width="11.42578125" style="5"/>
    <col min="13573" max="13573" width="72" style="5" customWidth="1"/>
    <col min="13574" max="13578" width="12.28515625" style="5" customWidth="1"/>
    <col min="13579" max="13579" width="13.42578125" style="5" customWidth="1"/>
    <col min="13580" max="13580" width="72.140625" style="5" customWidth="1"/>
    <col min="13581" max="13581" width="13.7109375" style="5" customWidth="1"/>
    <col min="13582" max="13828" width="11.42578125" style="5"/>
    <col min="13829" max="13829" width="72" style="5" customWidth="1"/>
    <col min="13830" max="13834" width="12.28515625" style="5" customWidth="1"/>
    <col min="13835" max="13835" width="13.42578125" style="5" customWidth="1"/>
    <col min="13836" max="13836" width="72.140625" style="5" customWidth="1"/>
    <col min="13837" max="13837" width="13.7109375" style="5" customWidth="1"/>
    <col min="13838" max="14084" width="11.42578125" style="5"/>
    <col min="14085" max="14085" width="72" style="5" customWidth="1"/>
    <col min="14086" max="14090" width="12.28515625" style="5" customWidth="1"/>
    <col min="14091" max="14091" width="13.42578125" style="5" customWidth="1"/>
    <col min="14092" max="14092" width="72.140625" style="5" customWidth="1"/>
    <col min="14093" max="14093" width="13.7109375" style="5" customWidth="1"/>
    <col min="14094" max="14340" width="11.42578125" style="5"/>
    <col min="14341" max="14341" width="72" style="5" customWidth="1"/>
    <col min="14342" max="14346" width="12.28515625" style="5" customWidth="1"/>
    <col min="14347" max="14347" width="13.42578125" style="5" customWidth="1"/>
    <col min="14348" max="14348" width="72.140625" style="5" customWidth="1"/>
    <col min="14349" max="14349" width="13.7109375" style="5" customWidth="1"/>
    <col min="14350" max="14596" width="11.42578125" style="5"/>
    <col min="14597" max="14597" width="72" style="5" customWidth="1"/>
    <col min="14598" max="14602" width="12.28515625" style="5" customWidth="1"/>
    <col min="14603" max="14603" width="13.42578125" style="5" customWidth="1"/>
    <col min="14604" max="14604" width="72.140625" style="5" customWidth="1"/>
    <col min="14605" max="14605" width="13.7109375" style="5" customWidth="1"/>
    <col min="14606" max="14852" width="11.42578125" style="5"/>
    <col min="14853" max="14853" width="72" style="5" customWidth="1"/>
    <col min="14854" max="14858" width="12.28515625" style="5" customWidth="1"/>
    <col min="14859" max="14859" width="13.42578125" style="5" customWidth="1"/>
    <col min="14860" max="14860" width="72.140625" style="5" customWidth="1"/>
    <col min="14861" max="14861" width="13.7109375" style="5" customWidth="1"/>
    <col min="14862" max="15108" width="11.42578125" style="5"/>
    <col min="15109" max="15109" width="72" style="5" customWidth="1"/>
    <col min="15110" max="15114" width="12.28515625" style="5" customWidth="1"/>
    <col min="15115" max="15115" width="13.42578125" style="5" customWidth="1"/>
    <col min="15116" max="15116" width="72.140625" style="5" customWidth="1"/>
    <col min="15117" max="15117" width="13.7109375" style="5" customWidth="1"/>
    <col min="15118" max="15364" width="11.42578125" style="5"/>
    <col min="15365" max="15365" width="72" style="5" customWidth="1"/>
    <col min="15366" max="15370" width="12.28515625" style="5" customWidth="1"/>
    <col min="15371" max="15371" width="13.42578125" style="5" customWidth="1"/>
    <col min="15372" max="15372" width="72.140625" style="5" customWidth="1"/>
    <col min="15373" max="15373" width="13.7109375" style="5" customWidth="1"/>
    <col min="15374" max="15620" width="11.42578125" style="5"/>
    <col min="15621" max="15621" width="72" style="5" customWidth="1"/>
    <col min="15622" max="15626" width="12.28515625" style="5" customWidth="1"/>
    <col min="15627" max="15627" width="13.42578125" style="5" customWidth="1"/>
    <col min="15628" max="15628" width="72.140625" style="5" customWidth="1"/>
    <col min="15629" max="15629" width="13.7109375" style="5" customWidth="1"/>
    <col min="15630" max="15876" width="11.42578125" style="5"/>
    <col min="15877" max="15877" width="72" style="5" customWidth="1"/>
    <col min="15878" max="15882" width="12.28515625" style="5" customWidth="1"/>
    <col min="15883" max="15883" width="13.42578125" style="5" customWidth="1"/>
    <col min="15884" max="15884" width="72.140625" style="5" customWidth="1"/>
    <col min="15885" max="15885" width="13.7109375" style="5" customWidth="1"/>
    <col min="15886" max="16132" width="11.42578125" style="5"/>
    <col min="16133" max="16133" width="72" style="5" customWidth="1"/>
    <col min="16134" max="16138" width="12.28515625" style="5" customWidth="1"/>
    <col min="16139" max="16139" width="13.42578125" style="5" customWidth="1"/>
    <col min="16140" max="16140" width="72.140625" style="5" customWidth="1"/>
    <col min="16141" max="16141" width="13.7109375" style="5" customWidth="1"/>
    <col min="16142" max="16384" width="11.42578125" style="5"/>
  </cols>
  <sheetData>
    <row r="2" spans="3:17" ht="24.95" customHeight="1" x14ac:dyDescent="0.25">
      <c r="C2" s="1" t="s">
        <v>0</v>
      </c>
      <c r="D2" s="2"/>
      <c r="E2" s="2"/>
    </row>
    <row r="3" spans="3:17" ht="23.25" customHeight="1" x14ac:dyDescent="0.25">
      <c r="M3" s="6"/>
      <c r="N3" s="6"/>
    </row>
    <row r="4" spans="3:17" s="10" customFormat="1" ht="23.25" customHeight="1" x14ac:dyDescent="0.25">
      <c r="C4" s="7" t="s">
        <v>1</v>
      </c>
      <c r="D4" s="7"/>
      <c r="E4" s="7"/>
      <c r="F4" s="7"/>
      <c r="G4" s="8"/>
      <c r="H4" s="8"/>
      <c r="I4" s="8"/>
      <c r="J4" s="8"/>
      <c r="K4" s="8"/>
      <c r="L4" s="7" t="s">
        <v>2</v>
      </c>
      <c r="M4" s="9"/>
      <c r="N4" s="9"/>
      <c r="O4" s="7"/>
    </row>
    <row r="5" spans="3:17" s="10" customFormat="1" ht="23.25" customHeight="1" x14ac:dyDescent="0.25">
      <c r="C5" s="7" t="s">
        <v>3</v>
      </c>
      <c r="D5" s="7"/>
      <c r="E5" s="7"/>
      <c r="F5" s="7"/>
      <c r="G5" s="8"/>
      <c r="H5" s="8"/>
      <c r="I5" s="8"/>
      <c r="J5" s="8"/>
      <c r="K5" s="8"/>
      <c r="L5" s="7" t="str">
        <f>C5</f>
        <v>(Clôture des comptes le 31 décembre de chaque exercice)</v>
      </c>
      <c r="M5" s="9"/>
      <c r="N5" s="9"/>
      <c r="O5" s="7"/>
    </row>
    <row r="6" spans="3:17" ht="8.25" customHeight="1" x14ac:dyDescent="0.25">
      <c r="M6" s="6"/>
      <c r="N6" s="6"/>
    </row>
    <row r="7" spans="3:17" s="10" customFormat="1" ht="23.25" customHeight="1" x14ac:dyDescent="0.25">
      <c r="C7" s="132" t="s">
        <v>4</v>
      </c>
      <c r="D7" s="133">
        <v>2012</v>
      </c>
      <c r="E7" s="133">
        <v>2013</v>
      </c>
      <c r="F7" s="134">
        <f>E7+1</f>
        <v>2014</v>
      </c>
      <c r="G7" s="134">
        <v>2015</v>
      </c>
      <c r="H7" s="134">
        <v>2016</v>
      </c>
      <c r="I7" s="11"/>
      <c r="J7" s="11"/>
      <c r="K7" s="11"/>
      <c r="L7" s="132" t="s">
        <v>5</v>
      </c>
      <c r="M7" s="133">
        <f>D7</f>
        <v>2012</v>
      </c>
      <c r="N7" s="133">
        <f>E7</f>
        <v>2013</v>
      </c>
      <c r="O7" s="133">
        <f>F7</f>
        <v>2014</v>
      </c>
      <c r="P7" s="133">
        <f>G7</f>
        <v>2015</v>
      </c>
      <c r="Q7" s="133">
        <f>H7</f>
        <v>2016</v>
      </c>
    </row>
    <row r="8" spans="3:17" ht="23.25" customHeight="1" x14ac:dyDescent="0.25">
      <c r="C8" s="12" t="s">
        <v>6</v>
      </c>
      <c r="D8" s="90">
        <v>297189</v>
      </c>
      <c r="E8" s="90">
        <v>309595</v>
      </c>
      <c r="F8" s="90">
        <v>313165</v>
      </c>
      <c r="G8" s="90">
        <v>304534</v>
      </c>
      <c r="H8" s="90">
        <v>310012</v>
      </c>
      <c r="I8" s="13"/>
      <c r="J8" s="13"/>
      <c r="K8" s="14">
        <f>((H8/D8)^(1/4))-1</f>
        <v>1.0616637356509973E-2</v>
      </c>
      <c r="L8" s="12" t="str">
        <f t="shared" ref="L8:L31" si="0">C8</f>
        <v>Chiffre d'affaires</v>
      </c>
      <c r="M8" s="95">
        <f t="shared" ref="M8:Q10" si="1">D8/D$11</f>
        <v>0.9925621877254388</v>
      </c>
      <c r="N8" s="95">
        <f t="shared" si="1"/>
        <v>0.99702754751737421</v>
      </c>
      <c r="O8" s="95">
        <f t="shared" si="1"/>
        <v>0.99920233556147597</v>
      </c>
      <c r="P8" s="95">
        <f t="shared" si="1"/>
        <v>0.99946176213824833</v>
      </c>
      <c r="Q8" s="95">
        <f t="shared" si="1"/>
        <v>1.0002742581317536</v>
      </c>
    </row>
    <row r="9" spans="3:17" ht="23.25" customHeight="1" x14ac:dyDescent="0.25">
      <c r="C9" s="15" t="s">
        <v>7</v>
      </c>
      <c r="D9" s="90">
        <v>1555</v>
      </c>
      <c r="E9" s="90">
        <v>1214</v>
      </c>
      <c r="F9" s="90">
        <v>251</v>
      </c>
      <c r="G9" s="90">
        <v>592</v>
      </c>
      <c r="H9" s="90">
        <v>51</v>
      </c>
      <c r="I9" s="16">
        <f>E9/E8</f>
        <v>3.921251958203459E-3</v>
      </c>
      <c r="J9" s="16"/>
      <c r="K9" s="14">
        <f>((H9/D9)^(1/4))-1</f>
        <v>-0.57444083734732287</v>
      </c>
      <c r="L9" s="15" t="str">
        <f t="shared" si="0"/>
        <v>+ Production immobilisée</v>
      </c>
      <c r="M9" s="95">
        <f t="shared" si="1"/>
        <v>5.193443236166404E-3</v>
      </c>
      <c r="N9" s="95">
        <f t="shared" si="1"/>
        <v>3.9095962230852963E-3</v>
      </c>
      <c r="O9" s="95">
        <f t="shared" si="1"/>
        <v>8.0085509627809775E-4</v>
      </c>
      <c r="P9" s="95">
        <f t="shared" si="1"/>
        <v>1.9429074033961496E-3</v>
      </c>
      <c r="Q9" s="95">
        <f t="shared" si="1"/>
        <v>1.645548790521639E-4</v>
      </c>
    </row>
    <row r="10" spans="3:17" ht="23.25" customHeight="1" x14ac:dyDescent="0.25">
      <c r="C10" s="15" t="s">
        <v>8</v>
      </c>
      <c r="D10" s="91">
        <v>672</v>
      </c>
      <c r="E10" s="91">
        <v>-291</v>
      </c>
      <c r="F10" s="90">
        <v>-1</v>
      </c>
      <c r="G10" s="90">
        <v>-428</v>
      </c>
      <c r="H10" s="90">
        <v>-136</v>
      </c>
      <c r="K10" s="14" t="e">
        <f>((H10/D10)^(1/4))-1</f>
        <v>#NUM!</v>
      </c>
      <c r="L10" s="15" t="str">
        <f t="shared" si="0"/>
        <v>+ Variation des stocks de produits finis</v>
      </c>
      <c r="M10" s="95">
        <f t="shared" si="1"/>
        <v>2.2443690383947418E-3</v>
      </c>
      <c r="N10" s="95">
        <f t="shared" si="1"/>
        <v>-9.3714374045949025E-4</v>
      </c>
      <c r="O10" s="95">
        <f t="shared" si="1"/>
        <v>-3.190657754096007E-6</v>
      </c>
      <c r="P10" s="95">
        <f t="shared" si="1"/>
        <v>-1.4046695416445136E-3</v>
      </c>
      <c r="Q10" s="95">
        <f t="shared" si="1"/>
        <v>-4.3881301080577037E-4</v>
      </c>
    </row>
    <row r="11" spans="3:17" ht="23.25" customHeight="1" x14ac:dyDescent="0.25">
      <c r="C11" s="17" t="s">
        <v>9</v>
      </c>
      <c r="D11" s="92">
        <f>D8+D10+D9</f>
        <v>299416</v>
      </c>
      <c r="E11" s="93">
        <f>E8+E10+E9</f>
        <v>310518</v>
      </c>
      <c r="F11" s="93">
        <f>F8+F10+F9</f>
        <v>313415</v>
      </c>
      <c r="G11" s="93">
        <f>G8+G10+G9</f>
        <v>304698</v>
      </c>
      <c r="H11" s="93">
        <f>H8+H10+H9</f>
        <v>309927</v>
      </c>
      <c r="I11" s="18"/>
      <c r="J11" s="18"/>
      <c r="K11" s="14">
        <f>((H11/D11)^(1/4))-1</f>
        <v>8.6630274830570286E-3</v>
      </c>
      <c r="L11" s="17" t="str">
        <f t="shared" si="0"/>
        <v>= Production</v>
      </c>
      <c r="M11" s="96">
        <f>D11/D11</f>
        <v>1</v>
      </c>
      <c r="N11" s="96">
        <f>E11/E11</f>
        <v>1</v>
      </c>
      <c r="O11" s="96">
        <f>F11/F11</f>
        <v>1</v>
      </c>
      <c r="P11" s="96">
        <f>G11/G11</f>
        <v>1</v>
      </c>
      <c r="Q11" s="96">
        <f>H11/H11</f>
        <v>1</v>
      </c>
    </row>
    <row r="12" spans="3:17" ht="23.25" customHeight="1" x14ac:dyDescent="0.25">
      <c r="C12" s="15" t="s">
        <v>10</v>
      </c>
      <c r="D12" s="90">
        <v>139806</v>
      </c>
      <c r="E12" s="90">
        <v>148796</v>
      </c>
      <c r="F12" s="90">
        <v>151385</v>
      </c>
      <c r="G12" s="90">
        <v>143318</v>
      </c>
      <c r="H12" s="90">
        <v>133926</v>
      </c>
      <c r="K12" s="14">
        <f>((H12/D12)^(1/4))-1</f>
        <v>-1.0684594529366875E-2</v>
      </c>
      <c r="L12" s="15" t="str">
        <f t="shared" si="0"/>
        <v>- Consommation de matières</v>
      </c>
      <c r="M12" s="95">
        <f t="shared" ref="M12:Q31" si="2">D12/D$11</f>
        <v>0.46692895503246318</v>
      </c>
      <c r="N12" s="95">
        <f t="shared" si="2"/>
        <v>0.47918639177116945</v>
      </c>
      <c r="O12" s="95">
        <f t="shared" si="2"/>
        <v>0.48301772410382399</v>
      </c>
      <c r="P12" s="95">
        <f t="shared" si="2"/>
        <v>0.4703608162836645</v>
      </c>
      <c r="Q12" s="95">
        <f t="shared" si="2"/>
        <v>0.43212111239098239</v>
      </c>
    </row>
    <row r="13" spans="3:17" ht="23.25" customHeight="1" x14ac:dyDescent="0.25">
      <c r="C13" s="15" t="s">
        <v>11</v>
      </c>
      <c r="D13" s="90">
        <v>71973</v>
      </c>
      <c r="E13" s="90">
        <v>74964</v>
      </c>
      <c r="F13" s="90">
        <v>71072</v>
      </c>
      <c r="G13" s="90">
        <v>71235</v>
      </c>
      <c r="H13" s="90">
        <v>78116</v>
      </c>
      <c r="I13" s="19"/>
      <c r="J13" s="19"/>
      <c r="K13" s="14">
        <f>((H13/D13)^(1/4))-1</f>
        <v>2.0687033881537253E-2</v>
      </c>
      <c r="L13" s="15" t="str">
        <f t="shared" si="0"/>
        <v>- Charges externes</v>
      </c>
      <c r="M13" s="95">
        <f t="shared" si="2"/>
        <v>0.24037793571485827</v>
      </c>
      <c r="N13" s="95">
        <f t="shared" si="2"/>
        <v>0.24141595656290457</v>
      </c>
      <c r="O13" s="95">
        <f t="shared" si="2"/>
        <v>0.22676642789911139</v>
      </c>
      <c r="P13" s="95">
        <f t="shared" si="2"/>
        <v>0.23378886635291338</v>
      </c>
      <c r="Q13" s="95">
        <f t="shared" si="2"/>
        <v>0.2520464496478203</v>
      </c>
    </row>
    <row r="14" spans="3:17" ht="23.25" customHeight="1" x14ac:dyDescent="0.25">
      <c r="C14" s="17" t="s">
        <v>12</v>
      </c>
      <c r="D14" s="93">
        <f>D11-D12-D13</f>
        <v>87637</v>
      </c>
      <c r="E14" s="93">
        <f>E11-E12-E13</f>
        <v>86758</v>
      </c>
      <c r="F14" s="93">
        <f>F11-F12-F13</f>
        <v>90958</v>
      </c>
      <c r="G14" s="93">
        <f>G11-G12-G13</f>
        <v>90145</v>
      </c>
      <c r="H14" s="93">
        <f>H11-H12-H13</f>
        <v>97885</v>
      </c>
      <c r="I14" s="19"/>
      <c r="J14" s="19"/>
      <c r="K14" s="14">
        <f>((H14/D14)^(1/4))-1</f>
        <v>2.8033248344963235E-2</v>
      </c>
      <c r="L14" s="17" t="str">
        <f t="shared" si="0"/>
        <v>= Valeur ajoutée</v>
      </c>
      <c r="M14" s="97">
        <f t="shared" si="2"/>
        <v>0.29269310925267855</v>
      </c>
      <c r="N14" s="97">
        <f t="shared" si="2"/>
        <v>0.27939765166592595</v>
      </c>
      <c r="O14" s="97">
        <f t="shared" si="2"/>
        <v>0.29021584799706457</v>
      </c>
      <c r="P14" s="97">
        <f t="shared" si="2"/>
        <v>0.29585031736342216</v>
      </c>
      <c r="Q14" s="97">
        <f t="shared" si="2"/>
        <v>0.31583243796119731</v>
      </c>
    </row>
    <row r="15" spans="3:17" ht="23.25" customHeight="1" x14ac:dyDescent="0.25">
      <c r="C15" s="15" t="s">
        <v>13</v>
      </c>
      <c r="D15" s="94">
        <v>69080</v>
      </c>
      <c r="E15" s="94">
        <v>68770</v>
      </c>
      <c r="F15" s="94">
        <v>69029</v>
      </c>
      <c r="G15" s="94">
        <v>70416</v>
      </c>
      <c r="H15" s="94">
        <v>71476</v>
      </c>
      <c r="I15" s="19"/>
      <c r="J15" s="19"/>
      <c r="K15" s="14">
        <f>((H15/D15)^(1/4))-1</f>
        <v>8.5605526845839996E-3</v>
      </c>
      <c r="L15" s="15" t="str">
        <f t="shared" si="0"/>
        <v>- Charges de personnel</v>
      </c>
      <c r="M15" s="95">
        <f t="shared" si="2"/>
        <v>0.23071579341117376</v>
      </c>
      <c r="N15" s="95">
        <f t="shared" si="2"/>
        <v>0.22146864271958469</v>
      </c>
      <c r="O15" s="95">
        <f t="shared" si="2"/>
        <v>0.22024791410749325</v>
      </c>
      <c r="P15" s="95">
        <f t="shared" si="2"/>
        <v>0.2311009589823366</v>
      </c>
      <c r="Q15" s="95">
        <f t="shared" si="2"/>
        <v>0.23062204970847974</v>
      </c>
    </row>
    <row r="16" spans="3:17" ht="23.25" customHeight="1" x14ac:dyDescent="0.25">
      <c r="C16" s="15" t="s">
        <v>14</v>
      </c>
      <c r="D16" s="94">
        <f>3600+542</f>
        <v>4142</v>
      </c>
      <c r="E16" s="94">
        <f>3854+517</f>
        <v>4371</v>
      </c>
      <c r="F16" s="94">
        <f>3334+907</f>
        <v>4241</v>
      </c>
      <c r="G16" s="94">
        <f>3200+839</f>
        <v>4039</v>
      </c>
      <c r="H16" s="94">
        <f>3425+970</f>
        <v>4395</v>
      </c>
      <c r="I16" s="19"/>
      <c r="J16" s="19"/>
      <c r="K16" s="14">
        <f>((H16/D16)^(1/4))-1</f>
        <v>1.4932585479270344E-2</v>
      </c>
      <c r="L16" s="15" t="str">
        <f t="shared" si="0"/>
        <v>- Impôts et taxes ( y compris la CVAE)</v>
      </c>
      <c r="M16" s="95">
        <f t="shared" si="2"/>
        <v>1.3833596067010448E-2</v>
      </c>
      <c r="N16" s="95">
        <f t="shared" si="2"/>
        <v>1.4076478658242034E-2</v>
      </c>
      <c r="O16" s="95">
        <f t="shared" si="2"/>
        <v>1.3531579535121165E-2</v>
      </c>
      <c r="P16" s="95">
        <f t="shared" si="2"/>
        <v>1.3255748314724744E-2</v>
      </c>
      <c r="Q16" s="95">
        <f t="shared" si="2"/>
        <v>1.4180758694789419E-2</v>
      </c>
    </row>
    <row r="17" spans="3:17" ht="23.25" customHeight="1" x14ac:dyDescent="0.25">
      <c r="C17" s="15" t="s">
        <v>15</v>
      </c>
      <c r="D17" s="94">
        <f>2796+2027-1433-1555+3600</f>
        <v>5435</v>
      </c>
      <c r="E17" s="94">
        <f>1014+1638-1403-1214+3854</f>
        <v>3889</v>
      </c>
      <c r="F17" s="94">
        <f>-3039-251+3334-1146+1002+1523-3119-78-279</f>
        <v>-2053</v>
      </c>
      <c r="G17" s="94">
        <f>1944-2690-592-1126+982+3200-612-75</f>
        <v>1031</v>
      </c>
      <c r="H17" s="94">
        <f>3025-1965-2484-794-51-1171+1345+3425</f>
        <v>1330</v>
      </c>
      <c r="I17" s="19"/>
      <c r="J17" s="19"/>
      <c r="K17" s="14">
        <f>((H17/D17)^(1/4))-1</f>
        <v>-0.29666371505514255</v>
      </c>
      <c r="L17" s="15" t="str">
        <f t="shared" si="0"/>
        <v xml:space="preserve">+/- Autres produits/ charges </v>
      </c>
      <c r="M17" s="95">
        <f t="shared" si="2"/>
        <v>1.8152002564993188E-2</v>
      </c>
      <c r="N17" s="95">
        <f t="shared" si="2"/>
        <v>1.2524233699817724E-2</v>
      </c>
      <c r="O17" s="95">
        <f t="shared" si="2"/>
        <v>-6.5504203691591021E-3</v>
      </c>
      <c r="P17" s="95">
        <f t="shared" si="2"/>
        <v>3.3836782650361998E-3</v>
      </c>
      <c r="Q17" s="95">
        <f t="shared" si="2"/>
        <v>4.2913331203799608E-3</v>
      </c>
    </row>
    <row r="18" spans="3:17" ht="23.25" customHeight="1" x14ac:dyDescent="0.25">
      <c r="C18" s="17" t="s">
        <v>16</v>
      </c>
      <c r="D18" s="93">
        <f>D14-D15-D16+D17</f>
        <v>19850</v>
      </c>
      <c r="E18" s="93">
        <f>E14-E15-E16+E17</f>
        <v>17506</v>
      </c>
      <c r="F18" s="93">
        <f>F14-F15-F16+F17</f>
        <v>15635</v>
      </c>
      <c r="G18" s="93">
        <f>G14-G15-G16+G17</f>
        <v>16721</v>
      </c>
      <c r="H18" s="93">
        <f>H14-H15-H16+H17</f>
        <v>23344</v>
      </c>
      <c r="I18" s="20"/>
      <c r="J18" s="20"/>
      <c r="K18" s="14">
        <f>((H18/D18)^(1/4))-1</f>
        <v>4.1366711571977799E-2</v>
      </c>
      <c r="L18" s="17" t="str">
        <f t="shared" si="0"/>
        <v>= Excédent brut d'exploitation</v>
      </c>
      <c r="M18" s="98">
        <f t="shared" si="2"/>
        <v>6.6295722339487537E-2</v>
      </c>
      <c r="N18" s="98">
        <f t="shared" si="2"/>
        <v>5.6376763987916967E-2</v>
      </c>
      <c r="O18" s="98">
        <f t="shared" si="2"/>
        <v>4.9885933985291064E-2</v>
      </c>
      <c r="P18" s="98">
        <f t="shared" si="2"/>
        <v>5.4877288331396989E-2</v>
      </c>
      <c r="Q18" s="98">
        <f t="shared" si="2"/>
        <v>7.5320962678308123E-2</v>
      </c>
    </row>
    <row r="19" spans="3:17" ht="23.25" customHeight="1" x14ac:dyDescent="0.25">
      <c r="C19" s="15" t="s">
        <v>17</v>
      </c>
      <c r="D19" s="90">
        <v>11439</v>
      </c>
      <c r="E19" s="90">
        <v>10852</v>
      </c>
      <c r="F19" s="90">
        <v>9979</v>
      </c>
      <c r="G19" s="90">
        <v>9539</v>
      </c>
      <c r="H19" s="90">
        <v>10421</v>
      </c>
      <c r="I19" s="19"/>
      <c r="J19" s="19"/>
      <c r="K19" s="14">
        <f>((H19/D19)^(1/4))-1</f>
        <v>-2.3032011070068803E-2</v>
      </c>
      <c r="L19" s="15" t="str">
        <f t="shared" si="0"/>
        <v>- Dotations aux amortissements</v>
      </c>
      <c r="M19" s="99">
        <f t="shared" si="2"/>
        <v>3.8204371175889061E-2</v>
      </c>
      <c r="N19" s="99">
        <f t="shared" si="2"/>
        <v>3.4948054541121612E-2</v>
      </c>
      <c r="O19" s="99">
        <f t="shared" si="2"/>
        <v>3.183957372812405E-2</v>
      </c>
      <c r="P19" s="99">
        <f t="shared" si="2"/>
        <v>3.1306408312493025E-2</v>
      </c>
      <c r="Q19" s="99">
        <f t="shared" si="2"/>
        <v>3.3624046952992155E-2</v>
      </c>
    </row>
    <row r="20" spans="3:17" ht="23.25" customHeight="1" x14ac:dyDescent="0.25">
      <c r="C20" s="17" t="s">
        <v>18</v>
      </c>
      <c r="D20" s="93">
        <f>D18-D19</f>
        <v>8411</v>
      </c>
      <c r="E20" s="93">
        <f>E18-E19</f>
        <v>6654</v>
      </c>
      <c r="F20" s="93">
        <f>F18-F19</f>
        <v>5656</v>
      </c>
      <c r="G20" s="93">
        <f>G18-G19</f>
        <v>7182</v>
      </c>
      <c r="H20" s="93">
        <f>H18-H19</f>
        <v>12923</v>
      </c>
      <c r="I20" s="21"/>
      <c r="J20" s="21"/>
      <c r="K20" s="14">
        <f>((H20/D20)^(1/4))-1</f>
        <v>0.11334285885389317</v>
      </c>
      <c r="L20" s="17" t="str">
        <f t="shared" si="0"/>
        <v>= Résultat d'exploitation</v>
      </c>
      <c r="M20" s="100">
        <f t="shared" si="2"/>
        <v>2.8091351163598472E-2</v>
      </c>
      <c r="N20" s="100">
        <f t="shared" si="2"/>
        <v>2.1428709446795355E-2</v>
      </c>
      <c r="O20" s="100">
        <f t="shared" si="2"/>
        <v>1.8046360257167014E-2</v>
      </c>
      <c r="P20" s="100">
        <f t="shared" si="2"/>
        <v>2.3570880018903964E-2</v>
      </c>
      <c r="Q20" s="100">
        <f t="shared" si="2"/>
        <v>4.1696915725315961E-2</v>
      </c>
    </row>
    <row r="21" spans="3:17" ht="23.25" customHeight="1" x14ac:dyDescent="0.25">
      <c r="C21" s="15" t="s">
        <v>19</v>
      </c>
      <c r="D21" s="90">
        <v>3480</v>
      </c>
      <c r="E21" s="90">
        <v>3825</v>
      </c>
      <c r="F21" s="90">
        <v>3203</v>
      </c>
      <c r="G21" s="90">
        <v>2803</v>
      </c>
      <c r="H21" s="90">
        <v>2741</v>
      </c>
      <c r="I21" s="19"/>
      <c r="J21" s="19"/>
      <c r="K21" s="19"/>
      <c r="L21" s="15" t="str">
        <f t="shared" si="0"/>
        <v>- Coût de l'endettement net</v>
      </c>
      <c r="M21" s="95">
        <f t="shared" si="2"/>
        <v>1.1622625377401342E-2</v>
      </c>
      <c r="N21" s="95">
        <f t="shared" si="2"/>
        <v>1.2318126485421134E-2</v>
      </c>
      <c r="O21" s="95">
        <f t="shared" si="2"/>
        <v>1.021967678636951E-2</v>
      </c>
      <c r="P21" s="95">
        <f t="shared" si="2"/>
        <v>9.1992727224989995E-3</v>
      </c>
      <c r="Q21" s="95">
        <f t="shared" si="2"/>
        <v>8.8440181074898282E-3</v>
      </c>
    </row>
    <row r="22" spans="3:17" ht="23.25" customHeight="1" x14ac:dyDescent="0.25">
      <c r="C22" s="15" t="s">
        <v>20</v>
      </c>
      <c r="D22" s="90">
        <v>-1515</v>
      </c>
      <c r="E22" s="90">
        <v>-1021</v>
      </c>
      <c r="F22" s="90">
        <v>-108</v>
      </c>
      <c r="G22" s="90">
        <v>-926</v>
      </c>
      <c r="H22" s="90">
        <v>-2586</v>
      </c>
      <c r="I22" s="19"/>
      <c r="J22" s="19"/>
      <c r="K22" s="19"/>
      <c r="L22" s="15" t="str">
        <f t="shared" si="0"/>
        <v>+ Autres éléments financiers</v>
      </c>
      <c r="M22" s="95">
        <f t="shared" si="2"/>
        <v>-5.0598498410238599E-3</v>
      </c>
      <c r="N22" s="95">
        <f t="shared" si="2"/>
        <v>-3.2880541546705827E-3</v>
      </c>
      <c r="O22" s="95">
        <f t="shared" si="2"/>
        <v>-3.4459103744236875E-4</v>
      </c>
      <c r="P22" s="95">
        <f t="shared" si="2"/>
        <v>-3.0390747559878961E-3</v>
      </c>
      <c r="Q22" s="95">
        <f t="shared" si="2"/>
        <v>-8.3439003378214874E-3</v>
      </c>
    </row>
    <row r="23" spans="3:17" ht="23.25" customHeight="1" x14ac:dyDescent="0.25">
      <c r="C23" s="15" t="s">
        <v>21</v>
      </c>
      <c r="D23" s="90">
        <v>-1410</v>
      </c>
      <c r="E23" s="90">
        <v>-1558</v>
      </c>
      <c r="F23" s="90">
        <f>1146-1002+12-999</f>
        <v>-843</v>
      </c>
      <c r="G23" s="90">
        <f>2+1126-982</f>
        <v>146</v>
      </c>
      <c r="H23" s="90">
        <f>1171-1345</f>
        <v>-174</v>
      </c>
      <c r="I23" s="22"/>
      <c r="J23" s="22"/>
      <c r="K23" s="22"/>
      <c r="L23" s="15" t="str">
        <f t="shared" si="0"/>
        <v>+ Eléments non récurrents</v>
      </c>
      <c r="M23" s="95">
        <f t="shared" si="2"/>
        <v>-4.709167178774681E-3</v>
      </c>
      <c r="N23" s="95">
        <f t="shared" si="2"/>
        <v>-5.0174225004669618E-3</v>
      </c>
      <c r="O23" s="95">
        <f t="shared" si="2"/>
        <v>-2.6897244867029337E-3</v>
      </c>
      <c r="P23" s="95">
        <f t="shared" si="2"/>
        <v>4.7916297448621258E-4</v>
      </c>
      <c r="Q23" s="95">
        <f t="shared" si="2"/>
        <v>-5.6142252853091208E-4</v>
      </c>
    </row>
    <row r="24" spans="3:17" ht="23.25" customHeight="1" x14ac:dyDescent="0.25">
      <c r="C24" s="17" t="s">
        <v>22</v>
      </c>
      <c r="D24" s="93">
        <f>D20-D21+D22+D23</f>
        <v>2006</v>
      </c>
      <c r="E24" s="93">
        <f>E20-E21+E22+E23</f>
        <v>250</v>
      </c>
      <c r="F24" s="93">
        <f>F20-F21+F22+F23</f>
        <v>1502</v>
      </c>
      <c r="G24" s="93">
        <f>G20-G21+G22+G23</f>
        <v>3599</v>
      </c>
      <c r="H24" s="93">
        <f>H20-H21+H22+H23</f>
        <v>7422</v>
      </c>
      <c r="I24" s="21"/>
      <c r="J24" s="21"/>
      <c r="K24" s="21"/>
      <c r="L24" s="17" t="str">
        <f t="shared" si="0"/>
        <v>= Résultat avant impôt</v>
      </c>
      <c r="M24" s="97">
        <f t="shared" si="2"/>
        <v>6.6997087663985891E-3</v>
      </c>
      <c r="N24" s="97">
        <f t="shared" si="2"/>
        <v>8.0510630623667554E-4</v>
      </c>
      <c r="O24" s="97">
        <f t="shared" si="2"/>
        <v>4.7923679466522024E-3</v>
      </c>
      <c r="P24" s="97">
        <f t="shared" si="2"/>
        <v>1.1811695514903282E-2</v>
      </c>
      <c r="Q24" s="97">
        <f t="shared" si="2"/>
        <v>2.3947574751473733E-2</v>
      </c>
    </row>
    <row r="25" spans="3:17" ht="23.25" customHeight="1" x14ac:dyDescent="0.25">
      <c r="C25" s="15" t="s">
        <v>23</v>
      </c>
      <c r="D25" s="90">
        <f>3269-542</f>
        <v>2727</v>
      </c>
      <c r="E25" s="90">
        <f>2739-517</f>
        <v>2222</v>
      </c>
      <c r="F25" s="90">
        <f>2361-907</f>
        <v>1454</v>
      </c>
      <c r="G25" s="90">
        <f>2822-839-G26</f>
        <v>1366</v>
      </c>
      <c r="H25" s="90">
        <f>3270-970</f>
        <v>2300</v>
      </c>
      <c r="I25" s="22"/>
      <c r="J25" s="22"/>
      <c r="K25" s="22"/>
      <c r="L25" s="15" t="str">
        <f t="shared" si="0"/>
        <v>- Impôt sur les bénéfices exigible</v>
      </c>
      <c r="M25" s="95">
        <f t="shared" si="2"/>
        <v>9.1077297138429485E-3</v>
      </c>
      <c r="N25" s="95">
        <f t="shared" si="2"/>
        <v>7.1557848498315715E-3</v>
      </c>
      <c r="O25" s="95">
        <f t="shared" si="2"/>
        <v>4.639216374455594E-3</v>
      </c>
      <c r="P25" s="95">
        <f t="shared" si="2"/>
        <v>4.4831275558093586E-3</v>
      </c>
      <c r="Q25" s="95">
        <f t="shared" si="2"/>
        <v>7.4211023886269992E-3</v>
      </c>
    </row>
    <row r="26" spans="3:17" ht="23.25" customHeight="1" x14ac:dyDescent="0.25">
      <c r="C26" s="15" t="s">
        <v>24</v>
      </c>
      <c r="D26" s="90">
        <v>1431</v>
      </c>
      <c r="E26" s="90">
        <v>545</v>
      </c>
      <c r="F26" s="90">
        <v>449</v>
      </c>
      <c r="G26" s="90">
        <v>617</v>
      </c>
      <c r="H26" s="90"/>
      <c r="I26" s="22"/>
      <c r="J26" s="22"/>
      <c r="K26" s="22"/>
      <c r="L26" s="15" t="str">
        <f t="shared" si="0"/>
        <v>- Impôt sur les bénéfices différé</v>
      </c>
      <c r="M26" s="95">
        <f t="shared" si="2"/>
        <v>4.7793037112245172E-3</v>
      </c>
      <c r="N26" s="95">
        <f t="shared" si="2"/>
        <v>1.7551317475959526E-3</v>
      </c>
      <c r="O26" s="95">
        <f t="shared" si="2"/>
        <v>1.4326053315891071E-3</v>
      </c>
      <c r="P26" s="95">
        <f t="shared" si="2"/>
        <v>2.02495585793146E-3</v>
      </c>
      <c r="Q26" s="95">
        <f t="shared" si="2"/>
        <v>0</v>
      </c>
    </row>
    <row r="27" spans="3:17" ht="23.25" customHeight="1" x14ac:dyDescent="0.25">
      <c r="C27" s="15" t="s">
        <v>25</v>
      </c>
      <c r="D27" s="90">
        <v>1847</v>
      </c>
      <c r="E27" s="90">
        <v>1420</v>
      </c>
      <c r="F27" s="90">
        <v>2674</v>
      </c>
      <c r="G27" s="90">
        <v>4140</v>
      </c>
      <c r="H27" s="90">
        <v>5236</v>
      </c>
      <c r="I27" s="22"/>
      <c r="J27" s="22"/>
      <c r="K27" s="22"/>
      <c r="L27" s="15" t="str">
        <f t="shared" si="0"/>
        <v>+ Part des sociétés mises en équivalence</v>
      </c>
      <c r="M27" s="95">
        <f t="shared" si="2"/>
        <v>6.1686750207069763E-3</v>
      </c>
      <c r="N27" s="95">
        <f t="shared" si="2"/>
        <v>4.5730038194243166E-3</v>
      </c>
      <c r="O27" s="95">
        <f t="shared" si="2"/>
        <v>8.5318188344527222E-3</v>
      </c>
      <c r="P27" s="95">
        <f t="shared" si="2"/>
        <v>1.3587224071047397E-2</v>
      </c>
      <c r="Q27" s="95">
        <f t="shared" si="2"/>
        <v>1.6894300916022158E-2</v>
      </c>
    </row>
    <row r="28" spans="3:17" ht="23.25" customHeight="1" x14ac:dyDescent="0.25">
      <c r="C28" s="15" t="s">
        <v>26</v>
      </c>
      <c r="D28" s="90">
        <v>-1932</v>
      </c>
      <c r="E28" s="90">
        <v>-1523</v>
      </c>
      <c r="F28" s="90">
        <v>53</v>
      </c>
      <c r="G28" s="90">
        <v>0</v>
      </c>
      <c r="H28" s="90"/>
      <c r="I28" s="22"/>
      <c r="J28" s="22"/>
      <c r="K28" s="22"/>
      <c r="L28" s="15" t="str">
        <f t="shared" si="0"/>
        <v>+ Résultat des activités abondonnées</v>
      </c>
      <c r="M28" s="95">
        <f t="shared" si="2"/>
        <v>-6.4525609853848826E-3</v>
      </c>
      <c r="N28" s="95">
        <f t="shared" si="2"/>
        <v>-4.9047076175938271E-3</v>
      </c>
      <c r="O28" s="95">
        <f t="shared" si="2"/>
        <v>1.6910486096708837E-4</v>
      </c>
      <c r="P28" s="95">
        <f t="shared" si="2"/>
        <v>0</v>
      </c>
      <c r="Q28" s="95">
        <f t="shared" si="2"/>
        <v>0</v>
      </c>
    </row>
    <row r="29" spans="3:17" ht="23.25" customHeight="1" x14ac:dyDescent="0.25">
      <c r="C29" s="17" t="s">
        <v>27</v>
      </c>
      <c r="D29" s="93">
        <f>D24-D25-D26+D27+D28</f>
        <v>-2237</v>
      </c>
      <c r="E29" s="93">
        <f>E24-E25-E26+E27+E28</f>
        <v>-2620</v>
      </c>
      <c r="F29" s="93">
        <f>F24-F25-F26+F27+F28</f>
        <v>2326</v>
      </c>
      <c r="G29" s="93">
        <f>G24-G25-G26+G27+G28</f>
        <v>5756</v>
      </c>
      <c r="H29" s="93">
        <f>H24-H25-H26+H27+H28</f>
        <v>10358</v>
      </c>
      <c r="I29" s="21"/>
      <c r="J29" s="21"/>
      <c r="K29" s="21"/>
      <c r="L29" s="17" t="str">
        <f t="shared" si="0"/>
        <v>= Résultat net</v>
      </c>
      <c r="M29" s="98">
        <f t="shared" si="2"/>
        <v>-7.471210623346782E-3</v>
      </c>
      <c r="N29" s="98">
        <f t="shared" si="2"/>
        <v>-8.4375140893603595E-3</v>
      </c>
      <c r="O29" s="98">
        <f t="shared" si="2"/>
        <v>7.4214699360273121E-3</v>
      </c>
      <c r="P29" s="98">
        <f t="shared" si="2"/>
        <v>1.8890836172209859E-2</v>
      </c>
      <c r="Q29" s="98">
        <f t="shared" si="2"/>
        <v>3.3420773278868894E-2</v>
      </c>
    </row>
    <row r="30" spans="3:17" ht="23.25" customHeight="1" x14ac:dyDescent="0.25">
      <c r="C30" s="15" t="s">
        <v>28</v>
      </c>
      <c r="D30" s="90">
        <v>210</v>
      </c>
      <c r="E30" s="90">
        <v>160</v>
      </c>
      <c r="F30" s="90">
        <v>28</v>
      </c>
      <c r="G30" s="90">
        <v>1</v>
      </c>
      <c r="H30" s="90">
        <v>113</v>
      </c>
      <c r="I30" s="22"/>
      <c r="J30" s="22"/>
      <c r="K30" s="22"/>
      <c r="L30" s="15" t="str">
        <f t="shared" si="0"/>
        <v>- Intérêts minoritaires</v>
      </c>
      <c r="M30" s="99">
        <f t="shared" si="2"/>
        <v>7.0136532449835681E-4</v>
      </c>
      <c r="N30" s="99">
        <f t="shared" si="2"/>
        <v>5.1526803599147232E-4</v>
      </c>
      <c r="O30" s="99">
        <f t="shared" si="2"/>
        <v>8.9338417114688198E-5</v>
      </c>
      <c r="P30" s="99">
        <f t="shared" si="2"/>
        <v>3.281938181412415E-6</v>
      </c>
      <c r="Q30" s="99">
        <f t="shared" si="2"/>
        <v>3.6460198691950038E-4</v>
      </c>
    </row>
    <row r="31" spans="3:17" ht="23.25" customHeight="1" x14ac:dyDescent="0.25">
      <c r="C31" s="17" t="s">
        <v>29</v>
      </c>
      <c r="D31" s="93">
        <f>D29-D30</f>
        <v>-2447</v>
      </c>
      <c r="E31" s="93">
        <f>E29-E30</f>
        <v>-2780</v>
      </c>
      <c r="F31" s="93">
        <f>F29-F30</f>
        <v>2298</v>
      </c>
      <c r="G31" s="93">
        <f>G29-G30</f>
        <v>5755</v>
      </c>
      <c r="H31" s="93">
        <f>H29-H30</f>
        <v>10245</v>
      </c>
      <c r="I31" s="21"/>
      <c r="J31" s="21"/>
      <c r="K31" s="21"/>
      <c r="L31" s="17" t="str">
        <f t="shared" si="0"/>
        <v>= Résultat net part du groupe</v>
      </c>
      <c r="M31" s="100">
        <f t="shared" si="2"/>
        <v>-8.1725759478451388E-3</v>
      </c>
      <c r="N31" s="100">
        <f t="shared" si="2"/>
        <v>-8.9527821253518308E-3</v>
      </c>
      <c r="O31" s="100">
        <f t="shared" si="2"/>
        <v>7.3321315189126242E-3</v>
      </c>
      <c r="P31" s="100">
        <f t="shared" si="2"/>
        <v>1.8887554234028447E-2</v>
      </c>
      <c r="Q31" s="100">
        <f t="shared" si="2"/>
        <v>3.3056171291949397E-2</v>
      </c>
    </row>
    <row r="32" spans="3:17" ht="9" customHeight="1" x14ac:dyDescent="0.25">
      <c r="C32" s="23"/>
      <c r="D32" s="24"/>
      <c r="E32" s="24"/>
      <c r="F32" s="25"/>
      <c r="G32" s="19"/>
      <c r="H32" s="19"/>
      <c r="I32" s="19"/>
      <c r="J32" s="19"/>
      <c r="K32" s="19"/>
      <c r="L32" s="23"/>
      <c r="M32" s="26"/>
      <c r="N32" s="6"/>
    </row>
    <row r="33" spans="3:15" ht="20.25" customHeight="1" x14ac:dyDescent="0.25">
      <c r="C33" s="27"/>
      <c r="D33" s="24"/>
      <c r="E33" s="24"/>
      <c r="F33" s="7"/>
      <c r="G33" s="19"/>
      <c r="H33" s="19"/>
      <c r="I33" s="19"/>
      <c r="J33" s="19"/>
      <c r="K33" s="19"/>
      <c r="L33" s="15"/>
      <c r="M33" s="26"/>
      <c r="N33" s="6"/>
    </row>
    <row r="34" spans="3:15" ht="23.25" customHeight="1" x14ac:dyDescent="0.25">
      <c r="C34" s="28"/>
      <c r="D34" s="29"/>
      <c r="E34" s="29"/>
      <c r="F34" s="29"/>
      <c r="M34" s="6"/>
      <c r="N34" s="6"/>
    </row>
    <row r="35" spans="3:15" s="10" customFormat="1" ht="23.25" customHeight="1" x14ac:dyDescent="0.25">
      <c r="C35" s="7" t="s">
        <v>30</v>
      </c>
      <c r="D35" s="30"/>
      <c r="E35" s="30"/>
      <c r="F35" s="30"/>
      <c r="G35" s="8"/>
      <c r="H35" s="8"/>
      <c r="I35" s="8"/>
      <c r="J35" s="8"/>
      <c r="K35" s="8"/>
      <c r="L35" s="7"/>
      <c r="M35" s="9"/>
      <c r="N35" s="9"/>
      <c r="O35" s="7"/>
    </row>
    <row r="36" spans="3:15" ht="8.25" customHeight="1" x14ac:dyDescent="0.25">
      <c r="C36" s="28"/>
      <c r="M36" s="6"/>
      <c r="N36" s="6"/>
    </row>
    <row r="37" spans="3:15" s="10" customFormat="1" ht="23.25" customHeight="1" x14ac:dyDescent="0.25">
      <c r="C37" s="132" t="str">
        <f t="shared" ref="C37:H37" si="3">C7</f>
        <v>En milliers d'euros</v>
      </c>
      <c r="D37" s="133">
        <f t="shared" si="3"/>
        <v>2012</v>
      </c>
      <c r="E37" s="133">
        <f t="shared" si="3"/>
        <v>2013</v>
      </c>
      <c r="F37" s="134">
        <f t="shared" si="3"/>
        <v>2014</v>
      </c>
      <c r="G37" s="134">
        <f t="shared" si="3"/>
        <v>2015</v>
      </c>
      <c r="H37" s="134">
        <f t="shared" si="3"/>
        <v>2016</v>
      </c>
      <c r="I37" s="11"/>
      <c r="J37" s="11"/>
      <c r="K37" s="11"/>
      <c r="L37" s="9"/>
    </row>
    <row r="38" spans="3:15" ht="23.25" customHeight="1" x14ac:dyDescent="0.25">
      <c r="C38" s="12" t="s">
        <v>31</v>
      </c>
      <c r="D38" s="90">
        <f>D29</f>
        <v>-2237</v>
      </c>
      <c r="E38" s="90">
        <f>E29</f>
        <v>-2620</v>
      </c>
      <c r="F38" s="90">
        <f>F29</f>
        <v>2326</v>
      </c>
      <c r="G38" s="90">
        <f>G29</f>
        <v>5756</v>
      </c>
      <c r="H38" s="90">
        <f>H29</f>
        <v>10358</v>
      </c>
      <c r="I38" s="31"/>
      <c r="J38" s="31"/>
      <c r="K38" s="11"/>
      <c r="M38" s="5"/>
      <c r="N38" s="5"/>
      <c r="O38" s="5"/>
    </row>
    <row r="39" spans="3:15" ht="23.25" customHeight="1" x14ac:dyDescent="0.25">
      <c r="C39" s="15" t="s">
        <v>32</v>
      </c>
      <c r="D39" s="90">
        <f>D19</f>
        <v>11439</v>
      </c>
      <c r="E39" s="90">
        <f>E19</f>
        <v>10852</v>
      </c>
      <c r="F39" s="90">
        <f>F19</f>
        <v>9979</v>
      </c>
      <c r="G39" s="90">
        <f>G19</f>
        <v>9539</v>
      </c>
      <c r="H39" s="90">
        <f>H19</f>
        <v>10421</v>
      </c>
      <c r="I39" s="32"/>
      <c r="J39" s="32"/>
      <c r="K39" s="11"/>
      <c r="M39" s="5"/>
      <c r="N39" s="5"/>
      <c r="O39" s="5"/>
    </row>
    <row r="40" spans="3:15" ht="23.25" customHeight="1" x14ac:dyDescent="0.25">
      <c r="C40" s="15" t="s">
        <v>33</v>
      </c>
      <c r="D40" s="90">
        <f>-D27</f>
        <v>-1847</v>
      </c>
      <c r="E40" s="90">
        <f>-E27</f>
        <v>-1420</v>
      </c>
      <c r="F40" s="90">
        <f>-F27</f>
        <v>-2674</v>
      </c>
      <c r="G40" s="90">
        <f>-G27</f>
        <v>-4140</v>
      </c>
      <c r="H40" s="90">
        <f>-H27</f>
        <v>-5236</v>
      </c>
      <c r="I40" s="32"/>
      <c r="J40" s="32"/>
      <c r="K40" s="11"/>
      <c r="M40" s="5"/>
      <c r="N40" s="5"/>
      <c r="O40" s="5"/>
    </row>
    <row r="41" spans="3:15" ht="23.25" customHeight="1" x14ac:dyDescent="0.25">
      <c r="C41" s="15" t="s">
        <v>34</v>
      </c>
      <c r="D41" s="90">
        <v>1688</v>
      </c>
      <c r="E41" s="90">
        <v>1899</v>
      </c>
      <c r="F41" s="90">
        <v>2890</v>
      </c>
      <c r="G41" s="90">
        <v>3028</v>
      </c>
      <c r="H41" s="90">
        <v>4372</v>
      </c>
      <c r="I41" s="32"/>
      <c r="J41" s="32"/>
      <c r="K41" s="11"/>
      <c r="M41" s="5"/>
      <c r="N41" s="5"/>
      <c r="O41" s="5"/>
    </row>
    <row r="42" spans="3:15" ht="23.25" customHeight="1" x14ac:dyDescent="0.25">
      <c r="C42" s="15" t="s">
        <v>35</v>
      </c>
      <c r="D42" s="90">
        <v>-9704</v>
      </c>
      <c r="E42" s="90">
        <v>-5698</v>
      </c>
      <c r="F42" s="90">
        <v>-4562</v>
      </c>
      <c r="G42" s="90">
        <v>-17</v>
      </c>
      <c r="H42" s="90">
        <v>-2313</v>
      </c>
      <c r="I42" s="32"/>
      <c r="J42" s="32"/>
      <c r="K42" s="11"/>
      <c r="M42" s="5"/>
      <c r="N42" s="5"/>
      <c r="O42" s="5"/>
    </row>
    <row r="43" spans="3:15" ht="23.25" customHeight="1" x14ac:dyDescent="0.25">
      <c r="C43" s="17" t="s">
        <v>36</v>
      </c>
      <c r="D43" s="93">
        <f>D38+D39+D42+D40+D41</f>
        <v>-661</v>
      </c>
      <c r="E43" s="93">
        <f>E38+E39+E42+E40+E41</f>
        <v>3013</v>
      </c>
      <c r="F43" s="93">
        <f>F38+F39+F42+F40+F41</f>
        <v>7959</v>
      </c>
      <c r="G43" s="93">
        <f>G38+G39+G42+G40+G41</f>
        <v>14166</v>
      </c>
      <c r="H43" s="93">
        <f>H38+H39+H42+H40+H41</f>
        <v>17602</v>
      </c>
      <c r="I43" s="21"/>
      <c r="J43" s="21"/>
      <c r="K43" s="11"/>
      <c r="M43" s="5"/>
      <c r="N43" s="5"/>
      <c r="O43" s="5"/>
    </row>
    <row r="44" spans="3:15" ht="23.25" customHeight="1" x14ac:dyDescent="0.25">
      <c r="C44" s="15" t="s">
        <v>37</v>
      </c>
      <c r="D44" s="90">
        <v>-2539</v>
      </c>
      <c r="E44" s="90">
        <f>E69-D69+E72-D72</f>
        <v>-577</v>
      </c>
      <c r="F44" s="90">
        <f>F69-E69+F72-E72</f>
        <v>-6499</v>
      </c>
      <c r="G44" s="90">
        <f>G69-F69+G72-F72</f>
        <v>2088</v>
      </c>
      <c r="H44" s="90">
        <f>H69-G69+H72-G72</f>
        <v>6230</v>
      </c>
      <c r="I44" s="33"/>
      <c r="J44" s="33"/>
      <c r="K44" s="11"/>
      <c r="M44" s="5"/>
      <c r="N44" s="5"/>
      <c r="O44" s="5"/>
    </row>
    <row r="45" spans="3:15" ht="23.25" customHeight="1" x14ac:dyDescent="0.25">
      <c r="C45" s="17" t="s">
        <v>38</v>
      </c>
      <c r="D45" s="93">
        <f>D43-D44</f>
        <v>1878</v>
      </c>
      <c r="E45" s="93">
        <f>E43-E44</f>
        <v>3590</v>
      </c>
      <c r="F45" s="93">
        <f>F43-F44</f>
        <v>14458</v>
      </c>
      <c r="G45" s="93">
        <f>G43-G44</f>
        <v>12078</v>
      </c>
      <c r="H45" s="93">
        <f>H43-H44</f>
        <v>11372</v>
      </c>
      <c r="I45" s="21"/>
      <c r="J45" s="21"/>
      <c r="K45" s="11"/>
      <c r="M45" s="5"/>
      <c r="N45" s="5"/>
      <c r="O45" s="5"/>
    </row>
    <row r="46" spans="3:15" ht="23.25" customHeight="1" x14ac:dyDescent="0.25">
      <c r="C46" s="15" t="s">
        <v>39</v>
      </c>
      <c r="D46" s="90">
        <v>14909</v>
      </c>
      <c r="E46" s="90">
        <v>7562</v>
      </c>
      <c r="F46" s="90">
        <v>6757</v>
      </c>
      <c r="G46" s="90">
        <v>9266</v>
      </c>
      <c r="H46" s="90">
        <f>8839+82</f>
        <v>8921</v>
      </c>
      <c r="I46" s="34"/>
      <c r="J46" s="34"/>
      <c r="K46" s="11"/>
      <c r="M46" s="5"/>
      <c r="N46" s="5"/>
      <c r="O46" s="5"/>
    </row>
    <row r="47" spans="3:15" ht="23.25" customHeight="1" x14ac:dyDescent="0.25">
      <c r="C47" s="15" t="s">
        <v>40</v>
      </c>
      <c r="D47" s="90">
        <v>2046</v>
      </c>
      <c r="E47" s="90">
        <v>1521</v>
      </c>
      <c r="F47" s="90">
        <v>1151</v>
      </c>
      <c r="G47" s="90">
        <v>1126</v>
      </c>
      <c r="H47" s="90">
        <f>910+1156</f>
        <v>2066</v>
      </c>
      <c r="I47" s="32"/>
      <c r="J47" s="32"/>
      <c r="K47" s="11"/>
      <c r="M47" s="5"/>
      <c r="N47" s="5"/>
      <c r="O47" s="5"/>
    </row>
    <row r="48" spans="3:15" ht="23.25" customHeight="1" x14ac:dyDescent="0.25">
      <c r="C48" s="15" t="s">
        <v>41</v>
      </c>
      <c r="D48" s="90"/>
      <c r="E48" s="90">
        <v>2858</v>
      </c>
      <c r="F48" s="90">
        <v>-1993</v>
      </c>
      <c r="G48" s="90">
        <v>646</v>
      </c>
      <c r="H48" s="90">
        <v>922</v>
      </c>
      <c r="I48" s="32"/>
      <c r="J48" s="32"/>
      <c r="K48" s="11"/>
      <c r="M48" s="5"/>
      <c r="N48" s="5"/>
      <c r="O48" s="5"/>
    </row>
    <row r="49" spans="3:15" ht="23.25" customHeight="1" x14ac:dyDescent="0.25">
      <c r="C49" s="15" t="s">
        <v>42</v>
      </c>
      <c r="D49" s="90">
        <v>0</v>
      </c>
      <c r="E49" s="90">
        <f>12124-556</f>
        <v>11568</v>
      </c>
      <c r="F49" s="90">
        <f>-1350-1319</f>
        <v>-2669</v>
      </c>
      <c r="G49" s="90">
        <f>119-725</f>
        <v>-606</v>
      </c>
      <c r="H49" s="90">
        <f>-8155-681</f>
        <v>-8836</v>
      </c>
      <c r="I49" s="32"/>
      <c r="J49" s="32"/>
      <c r="K49" s="11"/>
      <c r="M49" s="5"/>
      <c r="N49" s="5"/>
      <c r="O49" s="5"/>
    </row>
    <row r="50" spans="3:15" ht="23.25" customHeight="1" x14ac:dyDescent="0.25">
      <c r="C50" s="17" t="s">
        <v>43</v>
      </c>
      <c r="D50" s="101">
        <f>-D46+D47+ D49-D48</f>
        <v>-12863</v>
      </c>
      <c r="E50" s="101">
        <f>-E46+E47+ E49-E48</f>
        <v>2669</v>
      </c>
      <c r="F50" s="101">
        <f>-F46+F47+ F49-F48</f>
        <v>-6282</v>
      </c>
      <c r="G50" s="101">
        <f>-G46+G47+ G49-G48</f>
        <v>-9392</v>
      </c>
      <c r="H50" s="101">
        <f>-H46+H47+ H49-H48</f>
        <v>-16613</v>
      </c>
      <c r="I50" s="35"/>
      <c r="J50" s="35"/>
      <c r="K50" s="11"/>
      <c r="M50" s="5"/>
      <c r="N50" s="5"/>
      <c r="O50" s="5"/>
    </row>
    <row r="51" spans="3:15" ht="23.25" customHeight="1" x14ac:dyDescent="0.25">
      <c r="C51" s="36" t="s">
        <v>44</v>
      </c>
      <c r="D51" s="93">
        <f>+D45+D50</f>
        <v>-10985</v>
      </c>
      <c r="E51" s="93">
        <f>+E45+E50</f>
        <v>6259</v>
      </c>
      <c r="F51" s="93">
        <f>+F45+F50</f>
        <v>8176</v>
      </c>
      <c r="G51" s="93">
        <f>+G45+G50</f>
        <v>2686</v>
      </c>
      <c r="H51" s="93">
        <f>+H45+H50</f>
        <v>-5241</v>
      </c>
      <c r="I51" s="21"/>
      <c r="J51" s="21"/>
      <c r="K51" s="11"/>
      <c r="M51" s="5"/>
      <c r="N51" s="5"/>
      <c r="O51" s="5"/>
    </row>
    <row r="52" spans="3:15" ht="23.25" customHeight="1" x14ac:dyDescent="0.25">
      <c r="C52" s="15" t="s">
        <v>45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34"/>
      <c r="J52" s="34"/>
      <c r="K52" s="11"/>
      <c r="M52" s="5"/>
      <c r="N52" s="5"/>
      <c r="O52" s="5"/>
    </row>
    <row r="53" spans="3:15" ht="23.25" customHeight="1" x14ac:dyDescent="0.25">
      <c r="C53" s="37" t="s">
        <v>46</v>
      </c>
      <c r="D53" s="102">
        <v>550</v>
      </c>
      <c r="E53" s="102">
        <v>595</v>
      </c>
      <c r="F53" s="102">
        <v>661</v>
      </c>
      <c r="G53" s="102">
        <v>983</v>
      </c>
      <c r="H53" s="102">
        <f>1459+51</f>
        <v>1510</v>
      </c>
      <c r="I53" s="34"/>
      <c r="J53" s="34"/>
      <c r="K53" s="11"/>
      <c r="M53" s="5"/>
      <c r="N53" s="5"/>
      <c r="O53" s="5"/>
    </row>
    <row r="54" spans="3:15" ht="23.25" customHeight="1" x14ac:dyDescent="0.25">
      <c r="C54" s="17" t="s">
        <v>47</v>
      </c>
      <c r="D54" s="93">
        <f>D51+D52-D53</f>
        <v>-11535</v>
      </c>
      <c r="E54" s="93">
        <f>E51+E52-E53</f>
        <v>5664</v>
      </c>
      <c r="F54" s="93">
        <f>F51+F52-F53</f>
        <v>7515</v>
      </c>
      <c r="G54" s="93">
        <f>G51+G52-G53</f>
        <v>1703</v>
      </c>
      <c r="H54" s="93">
        <f>H51+H52-H53</f>
        <v>-6751</v>
      </c>
      <c r="I54" s="21"/>
      <c r="J54" s="21"/>
      <c r="K54" s="11"/>
      <c r="M54" s="5"/>
      <c r="N54" s="5"/>
      <c r="O54" s="5"/>
    </row>
    <row r="55" spans="3:15" ht="23.25" customHeight="1" x14ac:dyDescent="0.25">
      <c r="C55" s="38"/>
      <c r="D55" s="39"/>
      <c r="E55" s="39"/>
      <c r="F55" s="39"/>
      <c r="K55" s="11"/>
      <c r="L55" s="40"/>
    </row>
    <row r="56" spans="3:15" s="10" customFormat="1" ht="23.25" customHeight="1" x14ac:dyDescent="0.25">
      <c r="C56" s="7" t="s">
        <v>48</v>
      </c>
      <c r="D56" s="3"/>
      <c r="E56" s="3"/>
      <c r="F56" s="3"/>
      <c r="G56" s="41"/>
      <c r="H56" s="41"/>
      <c r="I56" s="41"/>
      <c r="J56" s="41"/>
      <c r="K56" s="41"/>
      <c r="L56" s="40"/>
      <c r="M56" s="3"/>
      <c r="N56" s="7"/>
      <c r="O56" s="7"/>
    </row>
    <row r="57" spans="3:15" ht="18" customHeight="1" x14ac:dyDescent="0.25">
      <c r="C57" s="132" t="str">
        <f>+C7</f>
        <v>En milliers d'euros</v>
      </c>
      <c r="D57" s="133">
        <f>D7</f>
        <v>2012</v>
      </c>
      <c r="E57" s="133">
        <f>E7</f>
        <v>2013</v>
      </c>
      <c r="F57" s="134">
        <f>F7</f>
        <v>2014</v>
      </c>
      <c r="G57" s="134">
        <f>G7</f>
        <v>2015</v>
      </c>
      <c r="H57" s="134">
        <f>H7</f>
        <v>2016</v>
      </c>
      <c r="L57" s="42"/>
    </row>
    <row r="58" spans="3:15" ht="23.25" customHeight="1" x14ac:dyDescent="0.25">
      <c r="C58" s="12" t="s">
        <v>49</v>
      </c>
      <c r="D58" s="90">
        <v>31698</v>
      </c>
      <c r="E58" s="90">
        <v>30552</v>
      </c>
      <c r="F58" s="90">
        <v>26594</v>
      </c>
      <c r="G58" s="90">
        <v>27351</v>
      </c>
      <c r="H58" s="90">
        <v>30422</v>
      </c>
      <c r="I58" s="43"/>
      <c r="J58" s="43"/>
      <c r="K58" s="43"/>
      <c r="L58" s="44"/>
      <c r="N58" s="4">
        <v>264</v>
      </c>
    </row>
    <row r="59" spans="3:15" ht="23.25" customHeight="1" x14ac:dyDescent="0.25">
      <c r="C59" s="12" t="s">
        <v>50</v>
      </c>
      <c r="D59" s="90">
        <v>787</v>
      </c>
      <c r="E59" s="90">
        <v>699</v>
      </c>
      <c r="F59" s="90">
        <v>777</v>
      </c>
      <c r="G59" s="90">
        <v>1373</v>
      </c>
      <c r="H59" s="90">
        <v>1718</v>
      </c>
      <c r="I59" s="43"/>
      <c r="J59" s="43"/>
      <c r="K59" s="43"/>
      <c r="L59" s="44"/>
      <c r="N59" s="90">
        <f>N60-N58</f>
        <v>221</v>
      </c>
    </row>
    <row r="60" spans="3:15" ht="23.25" customHeight="1" x14ac:dyDescent="0.25">
      <c r="C60" s="15" t="s">
        <v>51</v>
      </c>
      <c r="D60" s="90">
        <f>90591+765</f>
        <v>91356</v>
      </c>
      <c r="E60" s="90">
        <f>81985+134</f>
        <v>82119</v>
      </c>
      <c r="F60" s="90">
        <f>70412+126</f>
        <v>70538</v>
      </c>
      <c r="G60" s="90">
        <f>72130+129</f>
        <v>72259</v>
      </c>
      <c r="H60" s="90">
        <f>75268+159</f>
        <v>75427</v>
      </c>
      <c r="I60" s="43"/>
      <c r="J60" s="43"/>
      <c r="K60" s="43"/>
      <c r="L60" s="44"/>
      <c r="N60" s="4">
        <v>485</v>
      </c>
    </row>
    <row r="61" spans="3:15" ht="23.25" customHeight="1" x14ac:dyDescent="0.25">
      <c r="C61" s="15" t="s">
        <v>52</v>
      </c>
      <c r="D61" s="90">
        <v>4314</v>
      </c>
      <c r="E61" s="90">
        <v>5665</v>
      </c>
      <c r="F61" s="90">
        <v>6644</v>
      </c>
      <c r="G61" s="90">
        <v>6434</v>
      </c>
      <c r="H61" s="90">
        <v>6278</v>
      </c>
      <c r="I61" s="43"/>
      <c r="J61" s="43"/>
      <c r="K61" s="43"/>
      <c r="L61" s="44"/>
      <c r="N61" s="4">
        <v>91</v>
      </c>
    </row>
    <row r="62" spans="3:15" ht="23.25" customHeight="1" x14ac:dyDescent="0.25">
      <c r="C62" s="15" t="s">
        <v>53</v>
      </c>
      <c r="D62" s="90">
        <v>4328</v>
      </c>
      <c r="E62" s="90">
        <v>3734</v>
      </c>
      <c r="F62" s="90">
        <v>18922</v>
      </c>
      <c r="G62" s="90">
        <v>21028</v>
      </c>
      <c r="H62" s="90">
        <v>21883</v>
      </c>
      <c r="I62" s="43"/>
      <c r="J62" s="43"/>
      <c r="K62" s="43"/>
      <c r="L62" s="44"/>
      <c r="N62" s="90">
        <f>N63-N61</f>
        <v>19</v>
      </c>
    </row>
    <row r="63" spans="3:15" ht="23.25" customHeight="1" x14ac:dyDescent="0.25">
      <c r="C63" s="23" t="s">
        <v>54</v>
      </c>
      <c r="D63" s="103">
        <f>SUM(D58:D62)</f>
        <v>132483</v>
      </c>
      <c r="E63" s="103">
        <f>SUM(E58:E62)</f>
        <v>122769</v>
      </c>
      <c r="F63" s="103">
        <f>SUM(F58:F62)</f>
        <v>123475</v>
      </c>
      <c r="G63" s="103">
        <f>SUM(G58:G62)</f>
        <v>128445</v>
      </c>
      <c r="H63" s="103">
        <f>SUM(H58:H62)</f>
        <v>135728</v>
      </c>
      <c r="I63" s="43"/>
      <c r="J63" s="43"/>
      <c r="K63" s="43"/>
      <c r="L63" s="44"/>
      <c r="N63" s="4">
        <v>110</v>
      </c>
    </row>
    <row r="64" spans="3:15" ht="23.25" customHeight="1" x14ac:dyDescent="0.25">
      <c r="C64" s="12" t="s">
        <v>55</v>
      </c>
      <c r="D64" s="90">
        <v>30616</v>
      </c>
      <c r="E64" s="90">
        <v>28483</v>
      </c>
      <c r="F64" s="90">
        <v>28050</v>
      </c>
      <c r="G64" s="90">
        <v>25368</v>
      </c>
      <c r="H64" s="90">
        <v>29178</v>
      </c>
      <c r="I64" s="43"/>
      <c r="J64" s="43"/>
      <c r="K64" s="43"/>
      <c r="N64" s="4">
        <v>6</v>
      </c>
    </row>
    <row r="65" spans="1:41" ht="23.25" customHeight="1" x14ac:dyDescent="0.25">
      <c r="C65" s="15" t="s">
        <v>56</v>
      </c>
      <c r="D65" s="90">
        <f>89411-7745+4448</f>
        <v>86114</v>
      </c>
      <c r="E65" s="90">
        <f>81978-6763+11784</f>
        <v>86999</v>
      </c>
      <c r="F65" s="90">
        <f>83654-8093+8439</f>
        <v>84000</v>
      </c>
      <c r="G65" s="90">
        <f>96641-9025</f>
        <v>87616</v>
      </c>
      <c r="H65" s="90">
        <f>103659-10490</f>
        <v>93169</v>
      </c>
      <c r="N65" s="103">
        <f>N63+N60+N64</f>
        <v>601</v>
      </c>
    </row>
    <row r="66" spans="1:41" ht="23.25" customHeight="1" x14ac:dyDescent="0.25">
      <c r="C66" s="15" t="s">
        <v>57</v>
      </c>
      <c r="D66" s="90">
        <f>1108+2902+94857-D65</f>
        <v>12753</v>
      </c>
      <c r="E66" s="90">
        <f>1333+2800+96238-E65</f>
        <v>13372</v>
      </c>
      <c r="F66" s="90">
        <f>2769+2781+95496-F65</f>
        <v>17046</v>
      </c>
      <c r="G66" s="90">
        <f>3744+3624+97619-G65</f>
        <v>17371</v>
      </c>
      <c r="H66" s="90">
        <f>5028+3041+103557-H65</f>
        <v>18457</v>
      </c>
      <c r="L66" s="45"/>
      <c r="M66" s="45"/>
    </row>
    <row r="67" spans="1:41" ht="23.25" customHeight="1" x14ac:dyDescent="0.25">
      <c r="C67" s="15" t="s">
        <v>58</v>
      </c>
      <c r="D67" s="90">
        <v>55925</v>
      </c>
      <c r="E67" s="90">
        <v>54173</v>
      </c>
      <c r="F67" s="90">
        <v>56980</v>
      </c>
      <c r="G67" s="90">
        <v>57455</v>
      </c>
      <c r="H67" s="90">
        <v>59080</v>
      </c>
      <c r="L67" s="46"/>
    </row>
    <row r="68" spans="1:41" ht="23.25" customHeight="1" x14ac:dyDescent="0.25">
      <c r="C68" s="15" t="s">
        <v>59</v>
      </c>
      <c r="D68" s="90">
        <f>79912-D67+1344+2555</f>
        <v>27886</v>
      </c>
      <c r="E68" s="90">
        <f>77516-E67+1117+3841</f>
        <v>28301</v>
      </c>
      <c r="F68" s="90">
        <f>83605-F67+646+4252</f>
        <v>31523</v>
      </c>
      <c r="G68" s="90">
        <f>694+3808+84076-G67</f>
        <v>31123</v>
      </c>
      <c r="H68" s="90">
        <f>2550+4695+85195-H67</f>
        <v>33360</v>
      </c>
      <c r="L68" s="46"/>
    </row>
    <row r="69" spans="1:41" ht="23.25" customHeight="1" x14ac:dyDescent="0.25">
      <c r="C69" s="23" t="s">
        <v>60</v>
      </c>
      <c r="D69" s="103">
        <f>+D64+D65-D67+D66-D68</f>
        <v>45672</v>
      </c>
      <c r="E69" s="103">
        <f>+E64+E65-E67+E66-E68</f>
        <v>46380</v>
      </c>
      <c r="F69" s="103">
        <f>+F64+F65-F67+F66-F68</f>
        <v>40593</v>
      </c>
      <c r="G69" s="103">
        <f>+G64+G65-G67+G66-G68</f>
        <v>41777</v>
      </c>
      <c r="H69" s="103">
        <f>+H64+H65-H67+H66-H68</f>
        <v>48364</v>
      </c>
      <c r="I69" s="47"/>
      <c r="J69" s="47"/>
      <c r="K69" s="47"/>
      <c r="L69" s="46"/>
    </row>
    <row r="70" spans="1:41" ht="23.25" customHeight="1" x14ac:dyDescent="0.25">
      <c r="C70" s="15" t="s">
        <v>61</v>
      </c>
      <c r="D70" s="90">
        <v>0</v>
      </c>
      <c r="E70" s="103">
        <v>0</v>
      </c>
      <c r="F70" s="103">
        <v>0</v>
      </c>
      <c r="G70" s="90">
        <v>0</v>
      </c>
      <c r="H70" s="90">
        <v>0</v>
      </c>
      <c r="L70" s="46"/>
    </row>
    <row r="71" spans="1:41" ht="23.25" customHeight="1" x14ac:dyDescent="0.25">
      <c r="C71" s="15" t="s">
        <v>62</v>
      </c>
      <c r="D71" s="90">
        <v>6044</v>
      </c>
      <c r="E71" s="90">
        <f>1698+5631</f>
        <v>7329</v>
      </c>
      <c r="F71" s="90">
        <f>7548+493</f>
        <v>8041</v>
      </c>
      <c r="G71" s="90">
        <f>111+7026</f>
        <v>7137</v>
      </c>
      <c r="H71" s="90">
        <v>7494</v>
      </c>
    </row>
    <row r="72" spans="1:41" s="50" customFormat="1" ht="23.25" customHeight="1" x14ac:dyDescent="0.25">
      <c r="A72" s="48"/>
      <c r="B72" s="48"/>
      <c r="C72" s="49" t="s">
        <v>63</v>
      </c>
      <c r="D72" s="103">
        <f>D70-D71</f>
        <v>-6044</v>
      </c>
      <c r="E72" s="103">
        <f>E70-E71</f>
        <v>-7329</v>
      </c>
      <c r="F72" s="103">
        <f>F70-F71</f>
        <v>-8041</v>
      </c>
      <c r="G72" s="103">
        <f>G70-G71</f>
        <v>-7137</v>
      </c>
      <c r="H72" s="103">
        <f>H70-H71</f>
        <v>-7494</v>
      </c>
      <c r="I72" s="21"/>
      <c r="J72" s="21"/>
      <c r="K72" s="21"/>
      <c r="L72" s="3"/>
      <c r="M72" s="3"/>
      <c r="N72" s="6"/>
      <c r="O72" s="6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</row>
    <row r="73" spans="1:41" ht="23.25" customHeight="1" x14ac:dyDescent="0.25">
      <c r="C73" s="36" t="s">
        <v>64</v>
      </c>
      <c r="D73" s="93">
        <f>D63+D69+D72</f>
        <v>172111</v>
      </c>
      <c r="E73" s="93">
        <f>E63+E69+E72</f>
        <v>161820</v>
      </c>
      <c r="F73" s="93">
        <f>F63+F69+F72</f>
        <v>156027</v>
      </c>
      <c r="G73" s="93">
        <f>G63+G69+G72</f>
        <v>163085</v>
      </c>
      <c r="H73" s="93">
        <f>H63+H69+H72</f>
        <v>176598</v>
      </c>
      <c r="I73" s="47"/>
      <c r="J73" s="47"/>
      <c r="K73" s="47"/>
    </row>
    <row r="74" spans="1:41" ht="23.25" customHeight="1" x14ac:dyDescent="0.25">
      <c r="C74" s="12" t="s">
        <v>65</v>
      </c>
      <c r="D74" s="90">
        <v>95813</v>
      </c>
      <c r="E74" s="90">
        <v>89947</v>
      </c>
      <c r="F74" s="90">
        <v>92497</v>
      </c>
      <c r="G74" s="90">
        <v>100462</v>
      </c>
      <c r="H74" s="90">
        <v>101525</v>
      </c>
      <c r="I74" s="18"/>
      <c r="J74" s="18"/>
      <c r="K74" s="18"/>
    </row>
    <row r="75" spans="1:41" ht="23.25" customHeight="1" x14ac:dyDescent="0.25">
      <c r="C75" s="15" t="s">
        <v>66</v>
      </c>
      <c r="D75" s="90">
        <v>2197</v>
      </c>
      <c r="E75" s="90">
        <v>2093</v>
      </c>
      <c r="F75" s="90">
        <v>768</v>
      </c>
      <c r="G75" s="90">
        <v>662</v>
      </c>
      <c r="H75" s="90">
        <v>328</v>
      </c>
      <c r="I75" s="51"/>
      <c r="J75" s="51"/>
      <c r="K75" s="51"/>
    </row>
    <row r="76" spans="1:41" ht="23.25" customHeight="1" x14ac:dyDescent="0.25">
      <c r="C76" s="15" t="s">
        <v>67</v>
      </c>
      <c r="D76" s="90">
        <v>10062</v>
      </c>
      <c r="E76" s="90">
        <v>9067</v>
      </c>
      <c r="F76" s="90">
        <v>8566</v>
      </c>
      <c r="G76" s="90">
        <v>8009</v>
      </c>
      <c r="H76" s="90">
        <v>10039</v>
      </c>
    </row>
    <row r="77" spans="1:41" ht="23.25" customHeight="1" x14ac:dyDescent="0.25">
      <c r="C77" s="15" t="s">
        <v>68</v>
      </c>
      <c r="D77" s="90">
        <v>1390</v>
      </c>
      <c r="E77" s="90">
        <v>1738</v>
      </c>
      <c r="F77" s="90">
        <v>1734</v>
      </c>
      <c r="G77" s="90">
        <v>2079</v>
      </c>
      <c r="H77" s="90">
        <v>1833</v>
      </c>
    </row>
    <row r="78" spans="1:41" ht="23.25" customHeight="1" x14ac:dyDescent="0.25">
      <c r="C78" s="23" t="s">
        <v>69</v>
      </c>
      <c r="D78" s="103">
        <f>+D74+D75-D76+D77</f>
        <v>89338</v>
      </c>
      <c r="E78" s="103">
        <f>+E74+E75-E76+E77</f>
        <v>84711</v>
      </c>
      <c r="F78" s="103">
        <f>+F74+F75-F76+F77</f>
        <v>86433</v>
      </c>
      <c r="G78" s="103">
        <f>+G74+G75-G76+G77</f>
        <v>95194</v>
      </c>
      <c r="H78" s="103">
        <f>+H74+H75-H76+H77</f>
        <v>93647</v>
      </c>
      <c r="I78" s="13"/>
      <c r="J78" s="13"/>
      <c r="K78" s="13"/>
    </row>
    <row r="79" spans="1:41" ht="23.25" customHeight="1" x14ac:dyDescent="0.25">
      <c r="C79" s="12" t="s">
        <v>70</v>
      </c>
      <c r="D79" s="90">
        <f>21388+300</f>
        <v>21688</v>
      </c>
      <c r="E79" s="90">
        <f>24461+346</f>
        <v>24807</v>
      </c>
      <c r="F79" s="90">
        <f>35755+281</f>
        <v>36036</v>
      </c>
      <c r="G79" s="90">
        <f>31154+248</f>
        <v>31402</v>
      </c>
      <c r="H79" s="90">
        <f>38516+189</f>
        <v>38705</v>
      </c>
    </row>
    <row r="80" spans="1:41" ht="23.25" customHeight="1" x14ac:dyDescent="0.25">
      <c r="C80" s="15" t="s">
        <v>71</v>
      </c>
      <c r="D80" s="90">
        <f>55003+801+2889</f>
        <v>58693</v>
      </c>
      <c r="E80" s="90">
        <f>55615+907+2941</f>
        <v>59463</v>
      </c>
      <c r="F80" s="90">
        <f>2117+59610+917</f>
        <v>62644</v>
      </c>
      <c r="G80" s="90">
        <f>59322+2779</f>
        <v>62101</v>
      </c>
      <c r="H80" s="90">
        <f>63970+2969</f>
        <v>66939</v>
      </c>
      <c r="I80" s="33"/>
      <c r="J80" s="33"/>
      <c r="K80" s="33"/>
    </row>
    <row r="81" spans="2:15" ht="23.25" customHeight="1" x14ac:dyDescent="0.25">
      <c r="C81" s="15" t="s">
        <v>72</v>
      </c>
      <c r="D81" s="90">
        <v>43617</v>
      </c>
      <c r="E81" s="90">
        <v>43815</v>
      </c>
      <c r="F81" s="90">
        <v>46351</v>
      </c>
      <c r="G81" s="90">
        <v>46345</v>
      </c>
      <c r="H81" s="90">
        <v>45326</v>
      </c>
      <c r="I81" s="33"/>
      <c r="J81" s="33"/>
      <c r="K81" s="33"/>
    </row>
    <row r="82" spans="2:15" ht="23.25" customHeight="1" x14ac:dyDescent="0.25">
      <c r="C82" s="15" t="s">
        <v>73</v>
      </c>
      <c r="D82" s="90">
        <v>15078</v>
      </c>
      <c r="E82" s="90">
        <v>12611</v>
      </c>
      <c r="F82" s="90">
        <v>11879</v>
      </c>
      <c r="G82" s="90">
        <v>11783</v>
      </c>
      <c r="H82" s="90">
        <v>13735</v>
      </c>
      <c r="I82" s="33"/>
      <c r="J82" s="33"/>
      <c r="K82" s="33"/>
    </row>
    <row r="83" spans="2:15" ht="23.25" customHeight="1" x14ac:dyDescent="0.25">
      <c r="C83" s="15" t="s">
        <v>74</v>
      </c>
      <c r="D83" s="90">
        <v>49911</v>
      </c>
      <c r="E83" s="90">
        <v>44275</v>
      </c>
      <c r="F83" s="90">
        <v>19622</v>
      </c>
      <c r="G83" s="90">
        <v>20507</v>
      </c>
      <c r="H83" s="90">
        <v>22965</v>
      </c>
      <c r="I83" s="33"/>
      <c r="J83" s="33"/>
      <c r="K83" s="33"/>
      <c r="L83" s="7"/>
      <c r="M83" s="7"/>
    </row>
    <row r="84" spans="2:15" s="52" customFormat="1" ht="23.25" customHeight="1" x14ac:dyDescent="0.25">
      <c r="C84" s="15" t="s">
        <v>75</v>
      </c>
      <c r="D84" s="104">
        <v>18980</v>
      </c>
      <c r="E84" s="104">
        <v>20232</v>
      </c>
      <c r="F84" s="104">
        <v>14236</v>
      </c>
      <c r="G84" s="104">
        <v>11557</v>
      </c>
      <c r="H84" s="104">
        <v>14067</v>
      </c>
      <c r="I84" s="53"/>
      <c r="J84" s="53"/>
      <c r="K84" s="53"/>
      <c r="L84" s="3"/>
      <c r="M84" s="3"/>
      <c r="N84" s="45"/>
      <c r="O84" s="45"/>
    </row>
    <row r="85" spans="2:15" ht="23.25" customHeight="1" x14ac:dyDescent="0.25">
      <c r="C85" s="23" t="s">
        <v>76</v>
      </c>
      <c r="D85" s="103">
        <f>D79+D80-D81+D82+D83-D84</f>
        <v>82773</v>
      </c>
      <c r="E85" s="103">
        <f>E79+E80-E81+E82+E83-E84</f>
        <v>77109</v>
      </c>
      <c r="F85" s="103">
        <f>F79+F80-F81+F82+F83-F84</f>
        <v>69594</v>
      </c>
      <c r="G85" s="103">
        <f>G79+G80-G81+G82+G83-G84</f>
        <v>67891</v>
      </c>
      <c r="H85" s="103">
        <f>H79+H80-H81+H82+H83-H84</f>
        <v>82951</v>
      </c>
      <c r="L85" s="54"/>
    </row>
    <row r="86" spans="2:15" ht="23.25" customHeight="1" x14ac:dyDescent="0.25">
      <c r="C86" s="36" t="s">
        <v>77</v>
      </c>
      <c r="D86" s="93">
        <f>D78+D85</f>
        <v>172111</v>
      </c>
      <c r="E86" s="93">
        <f>E78+E85</f>
        <v>161820</v>
      </c>
      <c r="F86" s="93">
        <f>F78+F85</f>
        <v>156027</v>
      </c>
      <c r="G86" s="93">
        <f>G78+G85</f>
        <v>163085</v>
      </c>
      <c r="H86" s="93">
        <f>H78+H85</f>
        <v>176598</v>
      </c>
      <c r="I86" s="21"/>
      <c r="J86" s="21"/>
      <c r="K86" s="21"/>
    </row>
    <row r="87" spans="2:15" ht="23.25" customHeight="1" x14ac:dyDescent="0.25">
      <c r="D87" s="46"/>
      <c r="E87" s="46">
        <f>D85-E85</f>
        <v>5664</v>
      </c>
      <c r="F87" s="46">
        <f>E85-F85</f>
        <v>7515</v>
      </c>
      <c r="G87" s="46">
        <f>F85-G85</f>
        <v>1703</v>
      </c>
      <c r="H87" s="46">
        <f>G85-H85</f>
        <v>-15060</v>
      </c>
    </row>
    <row r="88" spans="2:15" ht="23.25" customHeight="1" thickBot="1" x14ac:dyDescent="0.3">
      <c r="C88" s="7" t="s">
        <v>144</v>
      </c>
    </row>
    <row r="89" spans="2:15" ht="23.25" customHeight="1" collapsed="1" thickBot="1" x14ac:dyDescent="0.3">
      <c r="B89" s="4"/>
      <c r="C89" s="132" t="str">
        <f>+C7</f>
        <v>En milliers d'euros</v>
      </c>
      <c r="D89" s="135">
        <f>D7</f>
        <v>2012</v>
      </c>
      <c r="E89" s="136">
        <f>E7</f>
        <v>2013</v>
      </c>
      <c r="F89" s="136">
        <f>F7</f>
        <v>2014</v>
      </c>
      <c r="G89" s="136">
        <f>G7</f>
        <v>2015</v>
      </c>
      <c r="H89" s="137">
        <f>H7</f>
        <v>2016</v>
      </c>
      <c r="I89" s="5"/>
      <c r="J89" s="5"/>
      <c r="K89" s="5"/>
    </row>
    <row r="90" spans="2:15" ht="23.25" hidden="1" customHeight="1" outlineLevel="1" x14ac:dyDescent="0.25">
      <c r="B90" s="55" t="s">
        <v>78</v>
      </c>
      <c r="C90" s="56" t="s">
        <v>79</v>
      </c>
      <c r="D90" s="57">
        <v>0.19600000000000001</v>
      </c>
      <c r="E90" s="57">
        <v>0.19600000000000001</v>
      </c>
      <c r="F90" s="57">
        <v>0.19600000000000001</v>
      </c>
      <c r="G90" s="57">
        <v>0.2</v>
      </c>
      <c r="H90" s="58">
        <v>0.2</v>
      </c>
      <c r="I90" s="5"/>
      <c r="J90" s="5"/>
      <c r="K90" s="5"/>
    </row>
    <row r="91" spans="2:15" ht="23.25" hidden="1" customHeight="1" outlineLevel="1" thickBot="1" x14ac:dyDescent="0.3">
      <c r="B91" s="59"/>
      <c r="C91" s="60" t="s">
        <v>80</v>
      </c>
      <c r="D91" s="61">
        <v>0.3</v>
      </c>
      <c r="E91" s="61">
        <v>0.3</v>
      </c>
      <c r="F91" s="61">
        <v>0.3</v>
      </c>
      <c r="G91" s="61">
        <v>0.3</v>
      </c>
      <c r="H91" s="62">
        <v>0.3</v>
      </c>
      <c r="I91" s="5"/>
      <c r="J91" s="5"/>
      <c r="K91" s="5"/>
    </row>
    <row r="92" spans="2:15" ht="23.25" hidden="1" customHeight="1" outlineLevel="1" x14ac:dyDescent="0.25">
      <c r="B92" s="63" t="s">
        <v>81</v>
      </c>
      <c r="C92" s="64"/>
      <c r="D92" s="65"/>
      <c r="E92" s="65"/>
      <c r="F92" s="65"/>
      <c r="G92" s="65"/>
      <c r="H92" s="66"/>
      <c r="I92" s="5"/>
      <c r="J92" s="5"/>
      <c r="K92" s="5"/>
    </row>
    <row r="93" spans="2:15" ht="23.25" hidden="1" customHeight="1" outlineLevel="1" thickBot="1" x14ac:dyDescent="0.3">
      <c r="B93" s="67"/>
      <c r="C93" s="60"/>
      <c r="D93" s="61"/>
      <c r="E93" s="61"/>
      <c r="F93" s="61"/>
      <c r="G93" s="61"/>
      <c r="H93" s="62"/>
      <c r="I93" s="5"/>
      <c r="J93" s="5"/>
      <c r="K93" s="5"/>
    </row>
    <row r="94" spans="2:15" ht="4.5" customHeight="1" thickBot="1" x14ac:dyDescent="0.3">
      <c r="C94" s="5"/>
      <c r="D94" s="5"/>
      <c r="E94" s="5"/>
      <c r="F94" s="5"/>
      <c r="G94" s="5"/>
      <c r="H94" s="5"/>
      <c r="I94" s="5"/>
      <c r="J94" s="5"/>
      <c r="K94" s="5"/>
    </row>
    <row r="95" spans="2:15" ht="23.25" customHeight="1" x14ac:dyDescent="0.25">
      <c r="B95" s="68" t="s">
        <v>82</v>
      </c>
      <c r="C95" s="56" t="s">
        <v>83</v>
      </c>
      <c r="D95" s="105">
        <f>D8</f>
        <v>297189</v>
      </c>
      <c r="E95" s="105">
        <f t="shared" ref="E95:H95" si="4">E8</f>
        <v>309595</v>
      </c>
      <c r="F95" s="105">
        <f t="shared" si="4"/>
        <v>313165</v>
      </c>
      <c r="G95" s="105">
        <f t="shared" si="4"/>
        <v>304534</v>
      </c>
      <c r="H95" s="106">
        <f t="shared" si="4"/>
        <v>310012</v>
      </c>
      <c r="I95" s="5"/>
      <c r="J95" s="5"/>
      <c r="K95" s="14">
        <f>((H95/D95)^(1/4))-1</f>
        <v>1.0616637356509973E-2</v>
      </c>
    </row>
    <row r="96" spans="2:15" ht="23.25" customHeight="1" x14ac:dyDescent="0.25">
      <c r="B96" s="69"/>
      <c r="C96" s="70" t="s">
        <v>84</v>
      </c>
      <c r="D96" s="107"/>
      <c r="E96" s="108">
        <f>(E95-D95)/D95</f>
        <v>4.1744479102523983E-2</v>
      </c>
      <c r="F96" s="108">
        <f t="shared" ref="F96:H96" si="5">(F95-E95)/E95</f>
        <v>1.1531193979230931E-2</v>
      </c>
      <c r="G96" s="108">
        <f t="shared" si="5"/>
        <v>-2.7560551147158847E-2</v>
      </c>
      <c r="H96" s="109">
        <f t="shared" si="5"/>
        <v>1.798813925538692E-2</v>
      </c>
      <c r="I96" s="5"/>
      <c r="J96" s="5"/>
      <c r="K96" s="5"/>
    </row>
    <row r="97" spans="2:12" ht="23.25" customHeight="1" x14ac:dyDescent="0.25">
      <c r="B97" s="69"/>
      <c r="C97" s="70" t="s">
        <v>85</v>
      </c>
      <c r="D97" s="110">
        <f>D12+D13+D15+D16</f>
        <v>285001</v>
      </c>
      <c r="E97" s="110">
        <f t="shared" ref="E97:H97" si="6">E12+E13+E15+E16</f>
        <v>296901</v>
      </c>
      <c r="F97" s="110">
        <f t="shared" si="6"/>
        <v>295727</v>
      </c>
      <c r="G97" s="110">
        <f t="shared" si="6"/>
        <v>289008</v>
      </c>
      <c r="H97" s="111">
        <f t="shared" si="6"/>
        <v>287913</v>
      </c>
      <c r="I97" s="5"/>
      <c r="J97" s="5"/>
      <c r="K97" s="14">
        <f>((H97/D97)^(1/4))-1</f>
        <v>2.5446476668975482E-3</v>
      </c>
    </row>
    <row r="98" spans="2:12" ht="23.25" customHeight="1" x14ac:dyDescent="0.25">
      <c r="B98" s="69"/>
      <c r="C98" s="70" t="s">
        <v>86</v>
      </c>
      <c r="D98" s="107"/>
      <c r="E98" s="108">
        <f>(E97-D97)/D97</f>
        <v>4.1754239458808913E-2</v>
      </c>
      <c r="F98" s="108">
        <f>(F97-E97)/E97</f>
        <v>-3.9541800128662418E-3</v>
      </c>
      <c r="G98" s="108">
        <f>(G97-F97)/F97</f>
        <v>-2.2720279176402562E-2</v>
      </c>
      <c r="H98" s="109">
        <f>(H97-G97)/G97</f>
        <v>-3.7888224547417372E-3</v>
      </c>
      <c r="I98" s="5"/>
      <c r="J98" s="5"/>
      <c r="K98" s="5"/>
    </row>
    <row r="99" spans="2:12" ht="23.25" customHeight="1" x14ac:dyDescent="0.25">
      <c r="B99" s="69"/>
      <c r="C99" s="70" t="s">
        <v>87</v>
      </c>
      <c r="D99" s="108">
        <f>M18</f>
        <v>6.6295722339487537E-2</v>
      </c>
      <c r="E99" s="108">
        <f t="shared" ref="E99:H99" si="7">N18</f>
        <v>5.6376763987916967E-2</v>
      </c>
      <c r="F99" s="108">
        <f t="shared" si="7"/>
        <v>4.9885933985291064E-2</v>
      </c>
      <c r="G99" s="108">
        <f t="shared" si="7"/>
        <v>5.4877288331396989E-2</v>
      </c>
      <c r="H99" s="109">
        <f t="shared" si="7"/>
        <v>7.5320962678308123E-2</v>
      </c>
      <c r="I99" s="5"/>
      <c r="J99" s="5"/>
      <c r="K99" s="5"/>
    </row>
    <row r="100" spans="2:12" ht="30" x14ac:dyDescent="0.25">
      <c r="B100" s="69"/>
      <c r="C100" s="71" t="s">
        <v>88</v>
      </c>
      <c r="D100" s="112">
        <f>D27/D31</f>
        <v>-0.75480179812014714</v>
      </c>
      <c r="E100" s="112">
        <f>E27/E31</f>
        <v>-0.51079136690647486</v>
      </c>
      <c r="F100" s="112">
        <f>F27/F31</f>
        <v>1.1636205395996519</v>
      </c>
      <c r="G100" s="112">
        <f>G27/G31</f>
        <v>0.71937445699391833</v>
      </c>
      <c r="H100" s="113">
        <f>H27/H31</f>
        <v>0.51107857491459252</v>
      </c>
      <c r="I100" s="5"/>
      <c r="J100" s="72" t="s">
        <v>89</v>
      </c>
      <c r="K100" s="72"/>
      <c r="L100" s="5" t="s">
        <v>90</v>
      </c>
    </row>
    <row r="101" spans="2:12" ht="23.25" customHeight="1" x14ac:dyDescent="0.25">
      <c r="B101" s="69"/>
      <c r="C101" s="71" t="s">
        <v>91</v>
      </c>
      <c r="D101" s="110">
        <f>D29</f>
        <v>-2237</v>
      </c>
      <c r="E101" s="110">
        <f t="shared" ref="E101:H101" si="8">E29</f>
        <v>-2620</v>
      </c>
      <c r="F101" s="110">
        <f t="shared" si="8"/>
        <v>2326</v>
      </c>
      <c r="G101" s="110">
        <f t="shared" si="8"/>
        <v>5756</v>
      </c>
      <c r="H101" s="111">
        <f t="shared" si="8"/>
        <v>10358</v>
      </c>
      <c r="I101" s="5"/>
      <c r="J101" s="72"/>
      <c r="K101" s="72"/>
      <c r="L101" s="5"/>
    </row>
    <row r="102" spans="2:12" ht="23.25" customHeight="1" thickBot="1" x14ac:dyDescent="0.3">
      <c r="B102" s="73"/>
      <c r="C102" s="74" t="s">
        <v>92</v>
      </c>
      <c r="D102" s="114"/>
      <c r="E102" s="114">
        <f>(E101-D101)/D101</f>
        <v>0.17121144389807777</v>
      </c>
      <c r="F102" s="114">
        <f>(F101-E101)/(-E101)</f>
        <v>1.8877862595419848</v>
      </c>
      <c r="G102" s="114">
        <f t="shared" ref="G102:H102" si="9">(G101-F101)/F101</f>
        <v>1.4746345657781599</v>
      </c>
      <c r="H102" s="114">
        <f t="shared" si="9"/>
        <v>0.79951355107713695</v>
      </c>
      <c r="I102" s="5"/>
      <c r="J102" s="72"/>
      <c r="K102" s="72"/>
      <c r="L102" s="5"/>
    </row>
    <row r="103" spans="2:12" ht="4.5" customHeight="1" thickBot="1" x14ac:dyDescent="0.3">
      <c r="C103" s="5"/>
      <c r="D103" s="5"/>
      <c r="E103" s="5"/>
      <c r="F103" s="5"/>
      <c r="G103" s="5"/>
      <c r="H103" s="5"/>
      <c r="I103" s="5"/>
      <c r="J103" s="72"/>
      <c r="K103" s="72"/>
      <c r="L103" s="5"/>
    </row>
    <row r="104" spans="2:12" ht="23.25" customHeight="1" x14ac:dyDescent="0.25">
      <c r="B104" s="68" t="s">
        <v>93</v>
      </c>
      <c r="C104" s="56" t="s">
        <v>94</v>
      </c>
      <c r="D104" s="105">
        <f>D39</f>
        <v>11439</v>
      </c>
      <c r="E104" s="105">
        <f t="shared" ref="E104:H104" si="10">E39</f>
        <v>10852</v>
      </c>
      <c r="F104" s="105">
        <f t="shared" si="10"/>
        <v>9979</v>
      </c>
      <c r="G104" s="105">
        <f t="shared" si="10"/>
        <v>9539</v>
      </c>
      <c r="H104" s="106">
        <f t="shared" si="10"/>
        <v>10421</v>
      </c>
      <c r="I104" s="5"/>
      <c r="J104" s="72"/>
      <c r="K104" s="72"/>
      <c r="L104" s="5"/>
    </row>
    <row r="105" spans="2:12" ht="23.25" customHeight="1" x14ac:dyDescent="0.25">
      <c r="B105" s="69"/>
      <c r="C105" s="70" t="s">
        <v>93</v>
      </c>
      <c r="D105" s="110">
        <f>D46</f>
        <v>14909</v>
      </c>
      <c r="E105" s="110">
        <f t="shared" ref="E105:H106" si="11">E46</f>
        <v>7562</v>
      </c>
      <c r="F105" s="110">
        <f t="shared" si="11"/>
        <v>6757</v>
      </c>
      <c r="G105" s="110">
        <f t="shared" si="11"/>
        <v>9266</v>
      </c>
      <c r="H105" s="111">
        <f t="shared" si="11"/>
        <v>8921</v>
      </c>
      <c r="I105" s="5"/>
      <c r="J105" s="72"/>
      <c r="K105" s="72"/>
      <c r="L105" s="5"/>
    </row>
    <row r="106" spans="2:12" ht="23.25" customHeight="1" x14ac:dyDescent="0.25">
      <c r="B106" s="69"/>
      <c r="C106" s="70" t="s">
        <v>95</v>
      </c>
      <c r="D106" s="110">
        <f>D47</f>
        <v>2046</v>
      </c>
      <c r="E106" s="110">
        <f t="shared" si="11"/>
        <v>1521</v>
      </c>
      <c r="F106" s="110">
        <f t="shared" si="11"/>
        <v>1151</v>
      </c>
      <c r="G106" s="110">
        <f t="shared" si="11"/>
        <v>1126</v>
      </c>
      <c r="H106" s="111">
        <f t="shared" si="11"/>
        <v>2066</v>
      </c>
      <c r="I106" s="5"/>
      <c r="J106" s="72"/>
      <c r="K106" s="72"/>
      <c r="L106" s="5"/>
    </row>
    <row r="107" spans="2:12" ht="23.25" customHeight="1" x14ac:dyDescent="0.25">
      <c r="B107" s="69"/>
      <c r="C107" s="70" t="s">
        <v>96</v>
      </c>
      <c r="D107" s="110">
        <f>D105-D106</f>
        <v>12863</v>
      </c>
      <c r="E107" s="110">
        <f t="shared" ref="E107:H107" si="12">E105-E106</f>
        <v>6041</v>
      </c>
      <c r="F107" s="110">
        <f t="shared" si="12"/>
        <v>5606</v>
      </c>
      <c r="G107" s="110">
        <f t="shared" si="12"/>
        <v>8140</v>
      </c>
      <c r="H107" s="111">
        <f t="shared" si="12"/>
        <v>6855</v>
      </c>
      <c r="I107" s="5"/>
      <c r="J107" s="72"/>
      <c r="K107" s="72"/>
      <c r="L107" s="5"/>
    </row>
    <row r="108" spans="2:12" ht="30" x14ac:dyDescent="0.25">
      <c r="B108" s="69"/>
      <c r="C108" s="71" t="s">
        <v>97</v>
      </c>
      <c r="D108" s="115">
        <v>0.39</v>
      </c>
      <c r="E108" s="115">
        <v>0.38</v>
      </c>
      <c r="F108" s="115">
        <v>0.35</v>
      </c>
      <c r="G108" s="115">
        <v>0.35</v>
      </c>
      <c r="H108" s="116">
        <v>0.36</v>
      </c>
      <c r="I108" s="5"/>
      <c r="J108" s="72"/>
      <c r="K108" s="72"/>
      <c r="L108" s="5"/>
    </row>
    <row r="109" spans="2:12" ht="23.25" customHeight="1" x14ac:dyDescent="0.25">
      <c r="B109" s="69"/>
      <c r="C109" s="70" t="s">
        <v>98</v>
      </c>
      <c r="D109" s="110">
        <f>D69</f>
        <v>45672</v>
      </c>
      <c r="E109" s="110">
        <f t="shared" ref="E109:H109" si="13">E69</f>
        <v>46380</v>
      </c>
      <c r="F109" s="110">
        <f t="shared" si="13"/>
        <v>40593</v>
      </c>
      <c r="G109" s="110">
        <f t="shared" si="13"/>
        <v>41777</v>
      </c>
      <c r="H109" s="111">
        <f t="shared" si="13"/>
        <v>48364</v>
      </c>
      <c r="I109" s="5"/>
      <c r="J109" s="72"/>
      <c r="K109" s="14">
        <f>((H109/D109)^(1/4))-1</f>
        <v>1.4420566622422415E-2</v>
      </c>
      <c r="L109" s="5"/>
    </row>
    <row r="110" spans="2:12" ht="23.25" customHeight="1" x14ac:dyDescent="0.25">
      <c r="B110" s="69"/>
      <c r="C110" s="70" t="s">
        <v>99</v>
      </c>
      <c r="D110" s="115"/>
      <c r="E110" s="115">
        <f>(E109-D109)/D109</f>
        <v>1.5501839201261167E-2</v>
      </c>
      <c r="F110" s="115">
        <f t="shared" ref="F110:H110" si="14">(F109-E109)/E109</f>
        <v>-0.12477360931435964</v>
      </c>
      <c r="G110" s="115">
        <f t="shared" si="14"/>
        <v>2.9167590471263518E-2</v>
      </c>
      <c r="H110" s="116">
        <f t="shared" si="14"/>
        <v>0.15767048854632931</v>
      </c>
      <c r="I110" s="5"/>
      <c r="J110" s="72"/>
      <c r="K110" s="72"/>
      <c r="L110" s="5"/>
    </row>
    <row r="111" spans="2:12" ht="23.25" customHeight="1" x14ac:dyDescent="0.25">
      <c r="B111" s="69"/>
      <c r="C111" s="70" t="s">
        <v>100</v>
      </c>
      <c r="D111" s="117">
        <f>365*D69/(D8*(1+D90))</f>
        <v>46.900663227822626</v>
      </c>
      <c r="E111" s="117">
        <f>365*E69/(E8*(1+E90))</f>
        <v>45.719186156517679</v>
      </c>
      <c r="F111" s="117">
        <f>365*F69/(F8*(1+F90))</f>
        <v>39.558481758176463</v>
      </c>
      <c r="G111" s="117">
        <f>365*G69/(G8*(1+G90))</f>
        <v>41.726607975901977</v>
      </c>
      <c r="H111" s="118">
        <f>365*H69/(H8*(1+H90))</f>
        <v>47.452087876168235</v>
      </c>
      <c r="I111" s="5"/>
      <c r="J111" s="72" t="s">
        <v>101</v>
      </c>
      <c r="K111" s="14">
        <f t="shared" ref="K111:K114" si="15">((H111/D111)^(1/4))-1</f>
        <v>2.9264509774755698E-3</v>
      </c>
      <c r="L111" s="5"/>
    </row>
    <row r="112" spans="2:12" ht="23.25" customHeight="1" x14ac:dyDescent="0.25">
      <c r="B112" s="69"/>
      <c r="C112" s="70" t="s">
        <v>102</v>
      </c>
      <c r="D112" s="117">
        <f>365*D65/(D8*(1+D90))</f>
        <v>88.430629558607407</v>
      </c>
      <c r="E112" s="117">
        <f>365*E65/(E8*(1+E90))</f>
        <v>85.759453998078513</v>
      </c>
      <c r="F112" s="117">
        <f>365*F65/(F8*(1+F90))</f>
        <v>81.859248335595368</v>
      </c>
      <c r="G112" s="117">
        <f>365*G65/(G8*(1+G90))</f>
        <v>87.510316308414389</v>
      </c>
      <c r="H112" s="118">
        <f>365*H65/(H8*(1+H90))</f>
        <v>91.412281352549797</v>
      </c>
      <c r="I112" s="5"/>
      <c r="J112" s="72" t="s">
        <v>103</v>
      </c>
      <c r="K112" s="14">
        <f t="shared" si="15"/>
        <v>8.3248204164210193E-3</v>
      </c>
      <c r="L112" s="5"/>
    </row>
    <row r="113" spans="2:12" ht="23.25" customHeight="1" x14ac:dyDescent="0.25">
      <c r="B113" s="69"/>
      <c r="C113" s="70" t="s">
        <v>104</v>
      </c>
      <c r="D113" s="117">
        <f>365*D64/D8</f>
        <v>37.601795490411824</v>
      </c>
      <c r="E113" s="117">
        <f>365*E64/E8</f>
        <v>33.580306529498216</v>
      </c>
      <c r="F113" s="117">
        <f>365*F64/F8</f>
        <v>32.692829658486737</v>
      </c>
      <c r="G113" s="117">
        <f>365*G64/G8</f>
        <v>30.40488089999803</v>
      </c>
      <c r="H113" s="118">
        <f>365*H64/H8</f>
        <v>34.353412125982217</v>
      </c>
      <c r="I113" s="5"/>
      <c r="J113" s="72" t="s">
        <v>105</v>
      </c>
      <c r="K113" s="14">
        <f t="shared" si="15"/>
        <v>-2.2334423221922028E-2</v>
      </c>
      <c r="L113" s="5"/>
    </row>
    <row r="114" spans="2:12" ht="23.25" customHeight="1" thickBot="1" x14ac:dyDescent="0.3">
      <c r="B114" s="73"/>
      <c r="C114" s="60" t="s">
        <v>106</v>
      </c>
      <c r="D114" s="119">
        <f>365*D67/((D12+D13)*(1+D90))</f>
        <v>80.590673330962275</v>
      </c>
      <c r="E114" s="119">
        <f>365*E67/((E12+E13)*(1+E90))</f>
        <v>73.885993623124648</v>
      </c>
      <c r="F114" s="119">
        <f>365*F67/((F12+F13)*(1+F90))</f>
        <v>78.169629505491002</v>
      </c>
      <c r="G114" s="119">
        <f>365*G67/((G12+G13)*(1+G90))</f>
        <v>81.452582034897361</v>
      </c>
      <c r="H114" s="120">
        <f>365*H67/((H12+H13)*(1+H90))</f>
        <v>84.74814737960719</v>
      </c>
      <c r="I114" s="5"/>
      <c r="J114" s="72" t="s">
        <v>107</v>
      </c>
      <c r="K114" s="14">
        <f t="shared" si="15"/>
        <v>1.2654640524395466E-2</v>
      </c>
      <c r="L114" s="5"/>
    </row>
    <row r="115" spans="2:12" ht="4.5" customHeight="1" thickBot="1" x14ac:dyDescent="0.3">
      <c r="C115" s="5"/>
      <c r="D115" s="5"/>
      <c r="E115" s="5"/>
      <c r="F115" s="5"/>
      <c r="G115" s="5"/>
      <c r="H115" s="5"/>
      <c r="I115" s="5"/>
      <c r="J115" s="72"/>
      <c r="K115" s="72"/>
      <c r="L115" s="5"/>
    </row>
    <row r="116" spans="2:12" ht="23.25" customHeight="1" x14ac:dyDescent="0.25">
      <c r="B116" s="75" t="s">
        <v>108</v>
      </c>
      <c r="C116" s="56" t="s">
        <v>109</v>
      </c>
      <c r="D116" s="121">
        <f>(D83-D84)/D85</f>
        <v>0.3736846556244186</v>
      </c>
      <c r="E116" s="121">
        <f>(E83-E84)/E85</f>
        <v>0.31180536642934026</v>
      </c>
      <c r="F116" s="121">
        <f>(F83-F84)/F85</f>
        <v>7.7391729172055057E-2</v>
      </c>
      <c r="G116" s="121">
        <f>(G83-G84)/G85</f>
        <v>0.13182896112886833</v>
      </c>
      <c r="H116" s="122">
        <f>(H83-H84)/H85</f>
        <v>0.10726814625501803</v>
      </c>
      <c r="I116" s="5"/>
      <c r="J116" s="72" t="s">
        <v>110</v>
      </c>
      <c r="K116" s="72"/>
      <c r="L116" s="5"/>
    </row>
    <row r="117" spans="2:12" ht="23.25" customHeight="1" x14ac:dyDescent="0.25">
      <c r="B117" s="76"/>
      <c r="C117" s="70" t="s">
        <v>111</v>
      </c>
      <c r="D117" s="123">
        <f>D85/D18</f>
        <v>4.1699244332493706</v>
      </c>
      <c r="E117" s="123">
        <f>E85/E18</f>
        <v>4.4047183822689364</v>
      </c>
      <c r="F117" s="123">
        <f>F85/F18</f>
        <v>4.4511672529581068</v>
      </c>
      <c r="G117" s="123">
        <f>G85/G18</f>
        <v>4.0602236708330839</v>
      </c>
      <c r="H117" s="124">
        <f>H85/H18</f>
        <v>3.5534184372858122</v>
      </c>
      <c r="I117" s="5" t="s">
        <v>112</v>
      </c>
      <c r="J117" s="72" t="s">
        <v>113</v>
      </c>
      <c r="K117" s="72"/>
      <c r="L117" s="77" t="s">
        <v>114</v>
      </c>
    </row>
    <row r="118" spans="2:12" ht="23.25" customHeight="1" x14ac:dyDescent="0.25">
      <c r="B118" s="76"/>
      <c r="C118" s="70" t="s">
        <v>115</v>
      </c>
      <c r="D118" s="125">
        <f>(D85-D82-D80+D81)/D18</f>
        <v>2.6508312342569269</v>
      </c>
      <c r="E118" s="125">
        <f>(E85-E82-E80+E81)/E18</f>
        <v>2.7904718382268938</v>
      </c>
      <c r="F118" s="125">
        <f>(F85-F82-F80+F81)/F18</f>
        <v>2.6493124400383756</v>
      </c>
      <c r="G118" s="125">
        <f>(G85-G82-G80+G81)/G18</f>
        <v>2.4132527958854135</v>
      </c>
      <c r="H118" s="126">
        <f>(H85-H82-H80+H81)/H18</f>
        <v>2.0391963673749145</v>
      </c>
      <c r="I118" s="5" t="s">
        <v>116</v>
      </c>
      <c r="J118" s="72" t="s">
        <v>117</v>
      </c>
      <c r="K118" s="72"/>
      <c r="L118" s="5"/>
    </row>
    <row r="119" spans="2:12" ht="23.25" customHeight="1" x14ac:dyDescent="0.25">
      <c r="B119" s="76"/>
      <c r="C119" s="70" t="s">
        <v>118</v>
      </c>
      <c r="D119" s="110">
        <f>D45</f>
        <v>1878</v>
      </c>
      <c r="E119" s="110">
        <f t="shared" ref="E119:H119" si="16">E45</f>
        <v>3590</v>
      </c>
      <c r="F119" s="110">
        <f t="shared" si="16"/>
        <v>14458</v>
      </c>
      <c r="G119" s="110">
        <f t="shared" si="16"/>
        <v>12078</v>
      </c>
      <c r="H119" s="111">
        <f t="shared" si="16"/>
        <v>11372</v>
      </c>
      <c r="I119" s="5"/>
      <c r="J119" s="72"/>
      <c r="K119" s="72"/>
      <c r="L119" s="5"/>
    </row>
    <row r="120" spans="2:12" ht="23.25" customHeight="1" x14ac:dyDescent="0.25">
      <c r="B120" s="76"/>
      <c r="C120" s="70" t="s">
        <v>119</v>
      </c>
      <c r="D120" s="110">
        <f>D50</f>
        <v>-12863</v>
      </c>
      <c r="E120" s="110">
        <f t="shared" ref="E120:H121" si="17">E50</f>
        <v>2669</v>
      </c>
      <c r="F120" s="110">
        <f t="shared" si="17"/>
        <v>-6282</v>
      </c>
      <c r="G120" s="110">
        <f t="shared" si="17"/>
        <v>-9392</v>
      </c>
      <c r="H120" s="111">
        <f t="shared" si="17"/>
        <v>-16613</v>
      </c>
      <c r="I120" s="5"/>
      <c r="J120" s="72"/>
      <c r="K120" s="72"/>
      <c r="L120" s="5"/>
    </row>
    <row r="121" spans="2:12" ht="23.25" customHeight="1" x14ac:dyDescent="0.25">
      <c r="B121" s="76"/>
      <c r="C121" s="70" t="s">
        <v>44</v>
      </c>
      <c r="D121" s="110">
        <f>D51</f>
        <v>-10985</v>
      </c>
      <c r="E121" s="110">
        <f t="shared" si="17"/>
        <v>6259</v>
      </c>
      <c r="F121" s="110">
        <f t="shared" si="17"/>
        <v>8176</v>
      </c>
      <c r="G121" s="110">
        <f t="shared" si="17"/>
        <v>2686</v>
      </c>
      <c r="H121" s="111">
        <f t="shared" si="17"/>
        <v>-5241</v>
      </c>
      <c r="I121" s="5"/>
      <c r="J121" s="72"/>
      <c r="K121" s="72"/>
      <c r="L121" s="5"/>
    </row>
    <row r="122" spans="2:12" ht="23.25" customHeight="1" thickBot="1" x14ac:dyDescent="0.3">
      <c r="B122" s="78"/>
      <c r="C122" s="60" t="s">
        <v>120</v>
      </c>
      <c r="D122" s="127">
        <f>D54</f>
        <v>-11535</v>
      </c>
      <c r="E122" s="127">
        <f t="shared" ref="E122:H122" si="18">E54</f>
        <v>5664</v>
      </c>
      <c r="F122" s="127">
        <f t="shared" si="18"/>
        <v>7515</v>
      </c>
      <c r="G122" s="127">
        <f t="shared" si="18"/>
        <v>1703</v>
      </c>
      <c r="H122" s="128">
        <f t="shared" si="18"/>
        <v>-6751</v>
      </c>
      <c r="I122" s="5"/>
      <c r="J122" s="72"/>
      <c r="K122" s="72"/>
      <c r="L122" s="5"/>
    </row>
    <row r="123" spans="2:12" ht="4.5" customHeight="1" thickBot="1" x14ac:dyDescent="0.3">
      <c r="C123" s="5"/>
      <c r="D123" s="5"/>
      <c r="E123" s="5"/>
      <c r="F123" s="5"/>
      <c r="G123" s="5"/>
      <c r="H123" s="5"/>
      <c r="I123" s="5"/>
      <c r="J123" s="72"/>
      <c r="K123" s="72"/>
      <c r="L123" s="5"/>
    </row>
    <row r="124" spans="2:12" ht="23.25" customHeight="1" x14ac:dyDescent="0.25">
      <c r="B124" s="75" t="s">
        <v>121</v>
      </c>
      <c r="C124" s="79" t="s">
        <v>122</v>
      </c>
      <c r="D124" s="121">
        <f>(D20*(1-D91))/(D73-D62)</f>
        <v>3.5091159414243393E-2</v>
      </c>
      <c r="E124" s="121">
        <f>(E20*(1-E91))/(E73-E62)</f>
        <v>2.9463709626405876E-2</v>
      </c>
      <c r="F124" s="121">
        <f>(F20*(1-F91))/(F73-F62)</f>
        <v>2.8877137959957694E-2</v>
      </c>
      <c r="G124" s="121">
        <f>(G20*(1-G91))/(G73-G62)</f>
        <v>3.5390019499215102E-2</v>
      </c>
      <c r="H124" s="122">
        <f>(H20*(1-H91))/(H73-H62)</f>
        <v>5.8469443816048856E-2</v>
      </c>
      <c r="I124" s="5" t="s">
        <v>123</v>
      </c>
      <c r="J124" s="72" t="s">
        <v>124</v>
      </c>
      <c r="K124" s="72"/>
      <c r="L124" s="5"/>
    </row>
    <row r="125" spans="2:12" ht="23.25" customHeight="1" x14ac:dyDescent="0.25">
      <c r="B125" s="80"/>
      <c r="C125" s="81" t="s">
        <v>125</v>
      </c>
      <c r="D125" s="129">
        <f>D29/D78</f>
        <v>-2.5039736730170813E-2</v>
      </c>
      <c r="E125" s="129">
        <f t="shared" ref="E125:H125" si="19">E29/E78</f>
        <v>-3.0928686947385816E-2</v>
      </c>
      <c r="F125" s="129">
        <f t="shared" si="19"/>
        <v>2.6911017782559901E-2</v>
      </c>
      <c r="G125" s="129">
        <f t="shared" si="19"/>
        <v>6.0465995756035042E-2</v>
      </c>
      <c r="H125" s="130">
        <f t="shared" si="19"/>
        <v>0.11060685339626469</v>
      </c>
      <c r="I125" s="5"/>
      <c r="J125" s="72"/>
      <c r="K125" s="72"/>
      <c r="L125" s="5"/>
    </row>
    <row r="126" spans="2:12" ht="23.25" customHeight="1" x14ac:dyDescent="0.25">
      <c r="B126" s="76"/>
      <c r="C126" s="82" t="s">
        <v>126</v>
      </c>
      <c r="D126" s="112">
        <f>D27/D62</f>
        <v>0.42675600739371533</v>
      </c>
      <c r="E126" s="112">
        <f>E27/E62</f>
        <v>0.38028923406534548</v>
      </c>
      <c r="F126" s="112">
        <f>F27/F62</f>
        <v>0.14131698551950111</v>
      </c>
      <c r="G126" s="112">
        <f>G27/G62</f>
        <v>0.19688035000951112</v>
      </c>
      <c r="H126" s="113">
        <f>H27/H62</f>
        <v>0.23927249463053513</v>
      </c>
      <c r="I126" s="5"/>
      <c r="J126" s="72" t="s">
        <v>127</v>
      </c>
      <c r="K126" s="72"/>
      <c r="L126" s="5"/>
    </row>
    <row r="127" spans="2:12" ht="23.25" customHeight="1" thickBot="1" x14ac:dyDescent="0.3">
      <c r="B127" s="78"/>
      <c r="C127" s="83" t="s">
        <v>128</v>
      </c>
      <c r="D127" s="114">
        <f>(D31-D23-D28)/D74</f>
        <v>9.3411123751474222E-3</v>
      </c>
      <c r="E127" s="114">
        <f>(E31-E23-E28)/E74</f>
        <v>3.3464151111209936E-3</v>
      </c>
      <c r="F127" s="114">
        <f>(F31-F23-F28)/F74</f>
        <v>3.3384866536211984E-2</v>
      </c>
      <c r="G127" s="114">
        <f>(G31-G23-G28)/G74</f>
        <v>5.5832055901733992E-2</v>
      </c>
      <c r="H127" s="131">
        <f>(H31-H23-H28)/H74</f>
        <v>0.10262496921940409</v>
      </c>
      <c r="I127" s="5"/>
      <c r="J127" s="72" t="s">
        <v>129</v>
      </c>
      <c r="K127" s="72"/>
      <c r="L127" s="5"/>
    </row>
    <row r="129" spans="3:12" ht="23.25" customHeight="1" x14ac:dyDescent="0.25">
      <c r="L129" s="72"/>
    </row>
    <row r="133" spans="3:12" ht="23.25" customHeight="1" x14ac:dyDescent="0.25">
      <c r="C133" s="3" t="s">
        <v>89</v>
      </c>
      <c r="E133" s="46"/>
      <c r="F133" s="46"/>
    </row>
    <row r="134" spans="3:12" ht="23.25" customHeight="1" x14ac:dyDescent="0.25">
      <c r="C134" s="3" t="s">
        <v>130</v>
      </c>
      <c r="D134" s="84">
        <f>H27/H31</f>
        <v>0.51107857491459252</v>
      </c>
      <c r="E134" s="46"/>
      <c r="F134" s="46"/>
    </row>
    <row r="135" spans="3:12" ht="23.25" customHeight="1" x14ac:dyDescent="0.25">
      <c r="C135" s="3" t="s">
        <v>101</v>
      </c>
      <c r="D135" s="85">
        <f>365*D69/(D8*1.196)</f>
        <v>46.900663227822626</v>
      </c>
      <c r="E135" s="46"/>
      <c r="F135" s="46"/>
    </row>
    <row r="136" spans="3:12" ht="23.25" customHeight="1" x14ac:dyDescent="0.25">
      <c r="C136" s="3" t="s">
        <v>131</v>
      </c>
      <c r="D136" s="85">
        <f>365*H69/(H8*1.2)</f>
        <v>47.452087876168235</v>
      </c>
      <c r="E136" s="46"/>
      <c r="F136" s="46"/>
    </row>
    <row r="137" spans="3:12" ht="23.25" customHeight="1" x14ac:dyDescent="0.25">
      <c r="C137" s="3" t="s">
        <v>132</v>
      </c>
      <c r="D137" s="85">
        <f>365*E65/(E8*1.196)</f>
        <v>85.759453998078513</v>
      </c>
      <c r="E137" s="46"/>
      <c r="F137" s="46"/>
    </row>
    <row r="138" spans="3:12" ht="23.25" customHeight="1" x14ac:dyDescent="0.25">
      <c r="C138" s="3" t="s">
        <v>133</v>
      </c>
      <c r="D138" s="85">
        <f>365*G65/(G8*1.2)</f>
        <v>87.510316308414389</v>
      </c>
      <c r="E138" s="46"/>
      <c r="F138" s="46"/>
    </row>
    <row r="139" spans="3:12" ht="23.25" customHeight="1" x14ac:dyDescent="0.25">
      <c r="C139" s="3" t="s">
        <v>134</v>
      </c>
      <c r="D139" s="85">
        <f>365*F64/F8</f>
        <v>32.692829658486737</v>
      </c>
      <c r="E139" s="46"/>
      <c r="F139" s="46"/>
    </row>
    <row r="140" spans="3:12" ht="23.25" customHeight="1" x14ac:dyDescent="0.25">
      <c r="C140" s="3" t="s">
        <v>135</v>
      </c>
      <c r="D140" s="85">
        <f>365*H64/H8</f>
        <v>34.353412125982217</v>
      </c>
      <c r="E140" s="46"/>
      <c r="F140" s="46"/>
    </row>
    <row r="141" spans="3:12" ht="23.25" customHeight="1" x14ac:dyDescent="0.25">
      <c r="C141" s="3" t="s">
        <v>107</v>
      </c>
      <c r="D141" s="85">
        <f>365*D67/((D12+D13)*1.196)</f>
        <v>80.590673330962275</v>
      </c>
      <c r="E141" s="46"/>
      <c r="F141" s="46"/>
    </row>
    <row r="142" spans="3:12" ht="23.25" customHeight="1" x14ac:dyDescent="0.25">
      <c r="C142" s="3" t="s">
        <v>136</v>
      </c>
      <c r="D142" s="85">
        <f>365*G67/((G12+G13)*1.2)</f>
        <v>81.452582034897361</v>
      </c>
      <c r="E142" s="46"/>
      <c r="F142" s="46"/>
    </row>
    <row r="143" spans="3:12" ht="23.25" customHeight="1" x14ac:dyDescent="0.25">
      <c r="C143" s="3" t="s">
        <v>137</v>
      </c>
      <c r="D143" s="86">
        <f>365*H67/((H12+H13)*1.2)</f>
        <v>84.74814737960719</v>
      </c>
      <c r="E143" s="46"/>
      <c r="F143" s="46"/>
    </row>
    <row r="144" spans="3:12" ht="23.25" customHeight="1" x14ac:dyDescent="0.25">
      <c r="C144" s="3" t="s">
        <v>110</v>
      </c>
      <c r="D144" s="84">
        <f>(D83-D84)/D85</f>
        <v>0.3736846556244186</v>
      </c>
      <c r="E144" s="46"/>
      <c r="F144" s="46"/>
    </row>
    <row r="145" spans="3:6" ht="23.25" customHeight="1" x14ac:dyDescent="0.25">
      <c r="C145" s="3" t="s">
        <v>138</v>
      </c>
      <c r="D145" s="84">
        <f>(H83-H84)/H85</f>
        <v>0.10726814625501803</v>
      </c>
      <c r="E145" s="46"/>
      <c r="F145" s="46"/>
    </row>
    <row r="146" spans="3:6" ht="23.25" customHeight="1" x14ac:dyDescent="0.25">
      <c r="C146" s="3" t="s">
        <v>113</v>
      </c>
      <c r="D146" s="46">
        <f>D85</f>
        <v>82773</v>
      </c>
      <c r="E146" s="46">
        <f>D18</f>
        <v>19850</v>
      </c>
      <c r="F146" s="86">
        <f>D146/E146</f>
        <v>4.1699244332493706</v>
      </c>
    </row>
    <row r="147" spans="3:6" ht="23.25" customHeight="1" x14ac:dyDescent="0.25">
      <c r="C147" s="3" t="s">
        <v>139</v>
      </c>
      <c r="D147" s="46">
        <f>H85</f>
        <v>82951</v>
      </c>
      <c r="E147" s="46">
        <f>H18</f>
        <v>23344</v>
      </c>
      <c r="F147" s="86">
        <f>D147/E147</f>
        <v>3.5534184372858122</v>
      </c>
    </row>
    <row r="148" spans="3:6" ht="23.25" customHeight="1" x14ac:dyDescent="0.25">
      <c r="C148" s="3" t="s">
        <v>117</v>
      </c>
      <c r="D148" s="87">
        <f>D85-D82-D80+D81</f>
        <v>52619</v>
      </c>
      <c r="E148" s="87">
        <f>D18</f>
        <v>19850</v>
      </c>
      <c r="F148" s="86">
        <f>D148/E148</f>
        <v>2.6508312342569269</v>
      </c>
    </row>
    <row r="149" spans="3:6" ht="23.25" customHeight="1" x14ac:dyDescent="0.25">
      <c r="C149" s="3" t="s">
        <v>140</v>
      </c>
      <c r="D149" s="88">
        <f>H85-H82-H80+H81</f>
        <v>47603</v>
      </c>
      <c r="E149" s="87">
        <f>H18</f>
        <v>23344</v>
      </c>
      <c r="F149" s="86">
        <f>D149/E149</f>
        <v>2.0391963673749145</v>
      </c>
    </row>
    <row r="150" spans="3:6" ht="23.25" customHeight="1" x14ac:dyDescent="0.25">
      <c r="C150" s="3" t="s">
        <v>124</v>
      </c>
      <c r="D150" s="84">
        <f>(D20*(1-0.3))/(D73-D62)</f>
        <v>3.5091159414243393E-2</v>
      </c>
      <c r="E150" s="46"/>
      <c r="F150" s="46"/>
    </row>
    <row r="151" spans="3:6" ht="23.25" customHeight="1" x14ac:dyDescent="0.25">
      <c r="C151" s="3" t="s">
        <v>141</v>
      </c>
      <c r="D151" s="84">
        <f>(H20*(1-0.3))/(H73-H62)</f>
        <v>5.8469443816048856E-2</v>
      </c>
      <c r="E151" s="46"/>
      <c r="F151" s="46"/>
    </row>
    <row r="152" spans="3:6" ht="23.25" customHeight="1" x14ac:dyDescent="0.25">
      <c r="C152" s="3" t="s">
        <v>127</v>
      </c>
      <c r="D152" s="84">
        <f>D27/D62</f>
        <v>0.42675600739371533</v>
      </c>
      <c r="E152" s="46"/>
      <c r="F152" s="46"/>
    </row>
    <row r="153" spans="3:6" ht="23.25" customHeight="1" x14ac:dyDescent="0.25">
      <c r="C153" s="3" t="s">
        <v>142</v>
      </c>
      <c r="D153" s="84">
        <f>H27/H62</f>
        <v>0.23927249463053513</v>
      </c>
      <c r="E153" s="46"/>
      <c r="F153" s="46"/>
    </row>
    <row r="154" spans="3:6" ht="23.25" customHeight="1" x14ac:dyDescent="0.25">
      <c r="C154" s="3" t="s">
        <v>129</v>
      </c>
      <c r="D154" s="89">
        <f>(E31-E23-E28)/E74</f>
        <v>3.3464151111209936E-3</v>
      </c>
      <c r="E154" s="46"/>
      <c r="F154" s="46"/>
    </row>
    <row r="155" spans="3:6" ht="23.25" customHeight="1" x14ac:dyDescent="0.25">
      <c r="C155" s="3" t="s">
        <v>143</v>
      </c>
      <c r="D155" s="84">
        <f>(G31-G23-G28)/G74</f>
        <v>5.5832055901733992E-2</v>
      </c>
      <c r="E155" s="46"/>
      <c r="F155" s="46"/>
    </row>
  </sheetData>
  <dataConsolidate/>
  <mergeCells count="6">
    <mergeCell ref="B90:B91"/>
    <mergeCell ref="B92:B93"/>
    <mergeCell ref="B95:B102"/>
    <mergeCell ref="B104:B114"/>
    <mergeCell ref="B116:B122"/>
    <mergeCell ref="B124:B127"/>
  </mergeCells>
  <printOptions horizontalCentered="1" verticalCentered="1"/>
  <pageMargins left="0.59055118110236227" right="0.59055118110236227" top="0" bottom="0.39370078740157483" header="0.51181102362204722" footer="0.51181102362204722"/>
  <pageSetup paperSize="9" scale="58" fitToHeight="5" orientation="portrait" useFirstPageNumber="1" r:id="rId1"/>
  <headerFooter alignWithMargins="0"/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EPC</vt:lpstr>
      <vt:lpstr>EPC!Print_Area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elafrit</dc:creator>
  <cp:lastModifiedBy>elafrit</cp:lastModifiedBy>
  <dcterms:created xsi:type="dcterms:W3CDTF">2017-06-25T21:51:16Z</dcterms:created>
  <dcterms:modified xsi:type="dcterms:W3CDTF">2017-06-25T21:53:29Z</dcterms:modified>
</cp:coreProperties>
</file>