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oogle Drive\01 - Formations\04 - HEC\ICCF\83-Etudes de cas\02-Travail\Cas Gremlin\"/>
    </mc:Choice>
  </mc:AlternateContent>
  <bookViews>
    <workbookView xWindow="2505" yWindow="465" windowWidth="25995" windowHeight="16455" tabRatio="916" firstSheet="2" activeTab="7"/>
  </bookViews>
  <sheets>
    <sheet name="Marché" sheetId="2" r:id="rId1"/>
    <sheet name="Entreprise" sheetId="14" r:id="rId2"/>
    <sheet name="Résultat" sheetId="4" r:id="rId3"/>
    <sheet name="Bilan" sheetId="6" r:id="rId4"/>
    <sheet name="Trésorerie" sheetId="5" r:id="rId5"/>
    <sheet name="Annexe" sheetId="9" r:id="rId6"/>
    <sheet name="Analyse des marges" sheetId="11" r:id="rId7"/>
    <sheet name="Analyse des investissements" sheetId="12" r:id="rId8"/>
    <sheet name="Analyse des financements" sheetId="13" r:id="rId9"/>
    <sheet name="Analyse des rentabilités" sheetId="16" r:id="rId10"/>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23" i="2" l="1"/>
  <c r="E23" i="2"/>
  <c r="D23" i="2"/>
  <c r="F24" i="2"/>
  <c r="F7" i="2"/>
  <c r="F8" i="2"/>
  <c r="F9" i="2"/>
  <c r="F10" i="2"/>
  <c r="F11" i="2"/>
  <c r="F12" i="2"/>
  <c r="F13" i="2"/>
  <c r="F14" i="2"/>
  <c r="F15" i="2"/>
  <c r="F16" i="2"/>
  <c r="F17" i="2"/>
  <c r="F18" i="2"/>
  <c r="F19" i="2"/>
  <c r="F20" i="2"/>
  <c r="F21" i="2"/>
  <c r="F6" i="2"/>
  <c r="K34" i="11"/>
  <c r="J34" i="11"/>
  <c r="I34" i="11"/>
  <c r="H34" i="11"/>
  <c r="G34" i="11"/>
  <c r="F34" i="11"/>
  <c r="E34" i="11"/>
  <c r="D34" i="11"/>
  <c r="D21" i="16"/>
  <c r="I18" i="16"/>
  <c r="H18" i="16"/>
  <c r="G18" i="16"/>
  <c r="I17" i="16"/>
  <c r="H17" i="16"/>
  <c r="G17" i="16"/>
  <c r="E18" i="16"/>
  <c r="D18" i="16"/>
  <c r="C18" i="16"/>
  <c r="E11" i="16"/>
  <c r="D11" i="16"/>
  <c r="C11" i="16"/>
  <c r="E21" i="16"/>
  <c r="C21" i="16"/>
  <c r="D17" i="16"/>
  <c r="E17" i="16"/>
  <c r="C17" i="16"/>
  <c r="L25" i="11"/>
  <c r="L26" i="11"/>
  <c r="L27" i="11"/>
  <c r="L28" i="11"/>
  <c r="F75" i="11"/>
  <c r="E75" i="11"/>
  <c r="D75" i="11"/>
  <c r="F73" i="11"/>
  <c r="E73" i="11"/>
  <c r="D73" i="11"/>
  <c r="F71" i="11"/>
  <c r="E71" i="11"/>
  <c r="D71" i="11"/>
  <c r="E43" i="13"/>
  <c r="D43" i="13"/>
  <c r="C43" i="13"/>
  <c r="E42" i="13"/>
  <c r="D42" i="13"/>
  <c r="C42" i="13"/>
  <c r="E41" i="13"/>
  <c r="D41" i="13"/>
  <c r="C41" i="13"/>
  <c r="G18" i="13"/>
  <c r="F18" i="13"/>
  <c r="E22" i="13"/>
  <c r="D22" i="13"/>
  <c r="C22" i="13"/>
  <c r="E19" i="13"/>
  <c r="D19" i="13"/>
  <c r="C19" i="13"/>
  <c r="D19" i="9"/>
  <c r="E19" i="9"/>
  <c r="F19" i="9"/>
  <c r="G19" i="9"/>
  <c r="E13" i="11"/>
  <c r="H19" i="9"/>
  <c r="I19" i="9"/>
  <c r="F13" i="11"/>
  <c r="F16" i="11"/>
  <c r="E16" i="11"/>
  <c r="D16" i="11"/>
  <c r="D13" i="11"/>
  <c r="F12" i="11"/>
  <c r="E12" i="11"/>
  <c r="D12" i="11"/>
  <c r="D44" i="13"/>
  <c r="D45" i="13"/>
  <c r="C44" i="13"/>
  <c r="C45" i="13"/>
  <c r="E44" i="13"/>
  <c r="E45" i="13"/>
  <c r="C23" i="13"/>
  <c r="D23" i="13"/>
  <c r="E23" i="13"/>
  <c r="D14" i="11"/>
  <c r="D15" i="11"/>
  <c r="D17" i="11"/>
  <c r="D18" i="11"/>
  <c r="E14" i="11"/>
  <c r="E15" i="11"/>
  <c r="E17" i="11"/>
  <c r="E18" i="11"/>
  <c r="F14" i="11"/>
  <c r="F15" i="11"/>
  <c r="F17" i="11"/>
  <c r="F18" i="11"/>
  <c r="G48" i="12"/>
  <c r="F48" i="12"/>
  <c r="E48" i="12"/>
  <c r="J41" i="12"/>
  <c r="I41" i="12"/>
  <c r="G41" i="12"/>
  <c r="F41" i="12"/>
  <c r="E41" i="12"/>
  <c r="H41" i="12"/>
  <c r="G49" i="12"/>
  <c r="F49" i="12"/>
  <c r="E49" i="12"/>
  <c r="G47" i="12"/>
  <c r="F47" i="12"/>
  <c r="E47" i="12"/>
  <c r="G39" i="12"/>
  <c r="F39" i="12"/>
  <c r="E39" i="12"/>
  <c r="E46" i="12"/>
  <c r="G46" i="12"/>
  <c r="F46" i="12"/>
  <c r="F29" i="11"/>
  <c r="E29" i="11"/>
  <c r="E32" i="11"/>
  <c r="D29" i="11"/>
  <c r="D32" i="11"/>
  <c r="G24" i="11"/>
  <c r="F25" i="11"/>
  <c r="E25" i="11"/>
  <c r="J8" i="4"/>
  <c r="J9" i="4"/>
  <c r="J10" i="4"/>
  <c r="J11" i="4"/>
  <c r="J12" i="4"/>
  <c r="J15" i="4"/>
  <c r="J18" i="4"/>
  <c r="J19" i="4"/>
  <c r="J7" i="4"/>
  <c r="J39" i="12"/>
  <c r="I39" i="12"/>
  <c r="H39" i="12"/>
  <c r="L30" i="11"/>
  <c r="E30" i="11"/>
  <c r="E33" i="11"/>
  <c r="H24" i="11"/>
  <c r="G25" i="11"/>
  <c r="F30" i="11"/>
  <c r="G29" i="11"/>
  <c r="F32" i="11"/>
  <c r="L33" i="11"/>
  <c r="F31" i="6"/>
  <c r="E31" i="6"/>
  <c r="E32" i="6"/>
  <c r="D31" i="6"/>
  <c r="D32" i="6"/>
  <c r="F25" i="6"/>
  <c r="F32" i="6"/>
  <c r="E25" i="6"/>
  <c r="D25" i="6"/>
  <c r="F8" i="6"/>
  <c r="F11" i="6"/>
  <c r="F16" i="6"/>
  <c r="E8" i="6"/>
  <c r="E11" i="6"/>
  <c r="E16" i="6"/>
  <c r="D8" i="6"/>
  <c r="D11" i="6"/>
  <c r="D16" i="6"/>
  <c r="F17" i="5"/>
  <c r="F18" i="5"/>
  <c r="E17" i="5"/>
  <c r="E18" i="5"/>
  <c r="D17" i="5"/>
  <c r="D18" i="5"/>
  <c r="F14" i="5"/>
  <c r="E14" i="5"/>
  <c r="D14" i="5"/>
  <c r="H9" i="4"/>
  <c r="H10" i="4"/>
  <c r="H11" i="4"/>
  <c r="H12" i="4"/>
  <c r="H13" i="4"/>
  <c r="H14" i="4"/>
  <c r="H15" i="4"/>
  <c r="H16" i="4"/>
  <c r="H17" i="4"/>
  <c r="H18" i="4"/>
  <c r="H19" i="4"/>
  <c r="F9" i="4"/>
  <c r="F10" i="4"/>
  <c r="F11" i="4"/>
  <c r="F12" i="4"/>
  <c r="F13" i="4"/>
  <c r="F14" i="4"/>
  <c r="F15" i="4"/>
  <c r="F16" i="4"/>
  <c r="F17" i="4"/>
  <c r="F18" i="4"/>
  <c r="F19" i="4"/>
  <c r="D9" i="4"/>
  <c r="D10" i="4"/>
  <c r="D11" i="4"/>
  <c r="D12" i="4"/>
  <c r="D13" i="4"/>
  <c r="D14" i="4"/>
  <c r="D15" i="4"/>
  <c r="D16" i="4"/>
  <c r="D17" i="4"/>
  <c r="D18" i="4"/>
  <c r="D19" i="4"/>
  <c r="H8" i="4"/>
  <c r="F8" i="4"/>
  <c r="D8" i="4"/>
  <c r="E24" i="2"/>
  <c r="D24" i="2"/>
  <c r="H29" i="11"/>
  <c r="H32" i="11"/>
  <c r="G30" i="11"/>
  <c r="G32" i="11"/>
  <c r="G33" i="11"/>
  <c r="I24" i="11"/>
  <c r="H25" i="11"/>
  <c r="F33" i="11"/>
  <c r="H33" i="11"/>
  <c r="J24" i="11"/>
  <c r="I25" i="11"/>
  <c r="I29" i="11"/>
  <c r="H30" i="11"/>
  <c r="I30" i="11"/>
  <c r="J29" i="11"/>
  <c r="J32" i="11"/>
  <c r="I32" i="11"/>
  <c r="I33" i="11"/>
  <c r="K24" i="11"/>
  <c r="J25" i="11"/>
  <c r="J33" i="11"/>
  <c r="K25" i="11"/>
  <c r="J30" i="11"/>
  <c r="K29" i="11"/>
  <c r="K32" i="11"/>
  <c r="K33" i="11"/>
  <c r="K30" i="11"/>
</calcChain>
</file>

<file path=xl/sharedStrings.xml><?xml version="1.0" encoding="utf-8"?>
<sst xmlns="http://schemas.openxmlformats.org/spreadsheetml/2006/main" count="258" uniqueCount="196">
  <si>
    <t>Groupe</t>
  </si>
  <si>
    <t>CA 1995 (M€)</t>
  </si>
  <si>
    <t>CA 1998 (M€)</t>
  </si>
  <si>
    <t>Sony</t>
  </si>
  <si>
    <t>Microsoft</t>
  </si>
  <si>
    <t xml:space="preserve">Nintindo </t>
  </si>
  <si>
    <t>Sega</t>
  </si>
  <si>
    <t>Electronic Arts</t>
  </si>
  <si>
    <t>GT Interactive</t>
  </si>
  <si>
    <t>Midway</t>
  </si>
  <si>
    <t>Acclaim Ent</t>
  </si>
  <si>
    <t>Activision</t>
  </si>
  <si>
    <t>Infogrames</t>
  </si>
  <si>
    <t>Eidos</t>
  </si>
  <si>
    <t>Interplay Ent</t>
  </si>
  <si>
    <t>Ubi Soft</t>
  </si>
  <si>
    <t>Titus</t>
  </si>
  <si>
    <t>Cryo</t>
  </si>
  <si>
    <t>Gremlin</t>
  </si>
  <si>
    <t>Marché</t>
  </si>
  <si>
    <t>Total sauf 4</t>
  </si>
  <si>
    <t>Le point mort est le nveau du CA à partir duquel, l'entreprise commence à faire des bénéfices</t>
  </si>
  <si>
    <t>Chiffre d'affaire</t>
  </si>
  <si>
    <t>Une société qui est à plus de 20% de son point mort est dans une situation confortable</t>
  </si>
  <si>
    <t>En milliers d'euros</t>
  </si>
  <si>
    <t>en %</t>
  </si>
  <si>
    <t>en €</t>
  </si>
  <si>
    <t>- Coût des ventes</t>
  </si>
  <si>
    <t>= Marge brute</t>
  </si>
  <si>
    <t>- Coût de distribution et de marketing</t>
  </si>
  <si>
    <t>- Coût administratifs</t>
  </si>
  <si>
    <t>= Résultat d'exploitation</t>
  </si>
  <si>
    <t>- Charges financières</t>
  </si>
  <si>
    <t xml:space="preserve">+ Produits financiers </t>
  </si>
  <si>
    <t>= Résultats courant</t>
  </si>
  <si>
    <t xml:space="preserve">- Charges exceptionnelles </t>
  </si>
  <si>
    <t>+ Produits exceptionnels</t>
  </si>
  <si>
    <t>- Impôts sur les sociétés</t>
  </si>
  <si>
    <t>= Résultat net</t>
  </si>
  <si>
    <t>Tableau de trésorerie consolidé</t>
  </si>
  <si>
    <t>Résultat net</t>
  </si>
  <si>
    <t xml:space="preserve">+ Dotation aux amortissements </t>
  </si>
  <si>
    <t>- Profits + pertes sur cession d'actifs immobilisés</t>
  </si>
  <si>
    <t>Variation de stocks</t>
  </si>
  <si>
    <t>= Capacité d'autofinancement (1)</t>
  </si>
  <si>
    <t>+ Variation des créances clients, comptes rattachés et autres créances</t>
  </si>
  <si>
    <t>- Variation des dettes fournisseurs et autres dettes diverses</t>
  </si>
  <si>
    <t xml:space="preserve">= Variation du Besoin en fond de roulement (2) </t>
  </si>
  <si>
    <t xml:space="preserve">Flux de trésorerie d'activité (après frais financiers et exceptionnels) (1) - (2) = (3) </t>
  </si>
  <si>
    <t xml:space="preserve">Cessions d'actifs </t>
  </si>
  <si>
    <t>- Investissements</t>
  </si>
  <si>
    <t xml:space="preserve">= Flux de trésorerie d'investissement / désinvestissement (4) </t>
  </si>
  <si>
    <t>+ Augmentation de capital</t>
  </si>
  <si>
    <t>- Dividendes</t>
  </si>
  <si>
    <t>= Diminution (augmentation) de l'endettement bancaire et financier net</t>
  </si>
  <si>
    <t xml:space="preserve">Endettement bancaire et financier net en début d'exercice </t>
  </si>
  <si>
    <t>Endettement bancaire et financier net en fin d'exercice</t>
  </si>
  <si>
    <t>en milliers d'euros</t>
  </si>
  <si>
    <t>Dividendes</t>
  </si>
  <si>
    <t>Résultat non distribué</t>
  </si>
  <si>
    <t>Cessions</t>
  </si>
  <si>
    <t>Prix de ventes des actifs cédés</t>
  </si>
  <si>
    <t>Valeur nette comptable des actifs cédés</t>
  </si>
  <si>
    <t xml:space="preserve">Dividendes versés en </t>
  </si>
  <si>
    <t>Dotation aux amortissements</t>
  </si>
  <si>
    <t>en millier d'euros</t>
  </si>
  <si>
    <t>Bilan : Actif</t>
  </si>
  <si>
    <t xml:space="preserve">Immobilisations incorporelles </t>
  </si>
  <si>
    <t>Immobilisation corporelles</t>
  </si>
  <si>
    <t>Immobilisations nettes</t>
  </si>
  <si>
    <t xml:space="preserve">Stocks de produits en cours de fabrication </t>
  </si>
  <si>
    <t>Stocks de produits finis</t>
  </si>
  <si>
    <t>Stocks totaux</t>
  </si>
  <si>
    <t xml:space="preserve">Clients et comptes rattachés </t>
  </si>
  <si>
    <t xml:space="preserve">Autres créances </t>
  </si>
  <si>
    <t>Valeurs mobilières de placement</t>
  </si>
  <si>
    <t xml:space="preserve">Disponibilités </t>
  </si>
  <si>
    <t>Total actif</t>
  </si>
  <si>
    <t>Bilan : Passif (après répartition)</t>
  </si>
  <si>
    <t>Capital social</t>
  </si>
  <si>
    <t>Prime d'émission</t>
  </si>
  <si>
    <t>Réserves</t>
  </si>
  <si>
    <t>Report à nouveau</t>
  </si>
  <si>
    <t>Capitaux propres</t>
  </si>
  <si>
    <t>Fournisseurs d'exploitation</t>
  </si>
  <si>
    <t>Autres dettes</t>
  </si>
  <si>
    <t>Dettes bancaires à moins d'un an</t>
  </si>
  <si>
    <t>Dettes bancaires à plus d'un an</t>
  </si>
  <si>
    <t>Crédit baux</t>
  </si>
  <si>
    <t>Dettes totales</t>
  </si>
  <si>
    <t>Total passif</t>
  </si>
  <si>
    <t xml:space="preserve">En millier d'euros </t>
  </si>
  <si>
    <t>Marge sur coûts variables</t>
  </si>
  <si>
    <t>Coûts variables</t>
  </si>
  <si>
    <t>Coûts fixes</t>
  </si>
  <si>
    <t>Point mort en valeur</t>
  </si>
  <si>
    <t>Coût des ventes</t>
  </si>
  <si>
    <t>Coût s de distribution et de marketing</t>
  </si>
  <si>
    <t>Coût administratifs</t>
  </si>
  <si>
    <t>Total</t>
  </si>
  <si>
    <t>Coût fixe</t>
  </si>
  <si>
    <t>Coût variable</t>
  </si>
  <si>
    <t>Taux de marge sur coût variables</t>
  </si>
  <si>
    <t>Distance du point mort</t>
  </si>
  <si>
    <t>Décomposition des coûts</t>
  </si>
  <si>
    <t>Croissance moyenne</t>
  </si>
  <si>
    <t>évolution plus faible que le CA</t>
  </si>
  <si>
    <t>évolution plus importante que le CA</t>
  </si>
  <si>
    <t>Coût de distribution et de marketing</t>
  </si>
  <si>
    <t>Année</t>
  </si>
  <si>
    <t>Amortissements</t>
  </si>
  <si>
    <t>Investissmeents</t>
  </si>
  <si>
    <t>Cession</t>
  </si>
  <si>
    <t>Prix de vente des actifs cédés</t>
  </si>
  <si>
    <t>Dotations aux amortissements</t>
  </si>
  <si>
    <t>Total des charges d'exploitation</t>
  </si>
  <si>
    <t>Résultat d'exploitation</t>
  </si>
  <si>
    <t>Croissance du chiffre d'affaire</t>
  </si>
  <si>
    <t>Croissance des charges d'exploitation</t>
  </si>
  <si>
    <t>Les investissements de Gremlin sont plus grands que ses dotations aux amortissements.</t>
  </si>
  <si>
    <t>Le besoin en fond de roulement est un décalage de trésorerie entre le paiement aux fournisseurs et le paiement des clients</t>
  </si>
  <si>
    <t xml:space="preserve">Caractéristiques du BFR : </t>
  </si>
  <si>
    <t>Sensible à l'activité de l'entreprise</t>
  </si>
  <si>
    <t>Liquide et permanent</t>
  </si>
  <si>
    <t>Souvent saisonnier</t>
  </si>
  <si>
    <t>Taus de TVA</t>
  </si>
  <si>
    <t>Sensible à la date de clôture de l'exercice</t>
  </si>
  <si>
    <t xml:space="preserve">Fonction du rapport de force de l'entreprise dans sa filière (avec ses clients et fournisseurs) </t>
  </si>
  <si>
    <t>Calcul du BFR en nbre de jours de CA TTC ==&gt; ratio de rotation du BFR = [ BFR / CA * (1+ taux de TVA) ] * 365</t>
  </si>
  <si>
    <t>Taux de TVA</t>
  </si>
  <si>
    <t>BFR</t>
  </si>
  <si>
    <t>Ratio de rotation du BFR</t>
  </si>
  <si>
    <t>Ratio de rotation des créances</t>
  </si>
  <si>
    <t>Ratio de rotation des stocks</t>
  </si>
  <si>
    <t>Ratio de rotation des fournisseurs</t>
  </si>
  <si>
    <t>Compte de résultat par fonction consolidé</t>
  </si>
  <si>
    <t>Total des coûts d'exploitation</t>
  </si>
  <si>
    <t>Normalement, puisque nous avons dans ce cas un compte de résultat par fonction. On ne connais pas le montant des achats. On ne peut donc pas calculer le ratio de rotation des fournisseurs</t>
  </si>
  <si>
    <t xml:space="preserve">Effet ciseau </t>
  </si>
  <si>
    <t>Analyse des investissements immobilisés</t>
  </si>
  <si>
    <t>Analyse du BFR</t>
  </si>
  <si>
    <t>Point mort</t>
  </si>
  <si>
    <t xml:space="preserve">Flux de trésorerie disponible après frais financiers (3) + (4)  </t>
  </si>
  <si>
    <t>= Diminution de l'endettement bancaire et financier net</t>
  </si>
  <si>
    <t xml:space="preserve">= Flux de trésorerie d'investissement (4) </t>
  </si>
  <si>
    <t xml:space="preserve">En 1996 Grmlin se désendette de 465 000 Euro. Mais à partir de 1997 elle s'endette de plus en plus </t>
  </si>
  <si>
    <t xml:space="preserve">En 1997, la CAF permettait de financer l'augmentation du BFR et seulement 20% des investissements. L'entreprise a donc financé le reste par augmentation de capital. A partir de 1998, la CAF n'est même pas suffisant pour financer l'augmentation du BFR. L'entreprise s'est donc financé principalement par endettement. </t>
  </si>
  <si>
    <t xml:space="preserve">En 1996, Gremlin s'est autofinancé et a un excédent de trésorerie. En effet, sont flux de trésorerie disponible était positif. Mais à partir de 1997, l'entreprise doit trouver des moyens pour financer ses besoins qui ne peuvent plus être financés par autofinancement. </t>
  </si>
  <si>
    <t xml:space="preserve">En 1996, Gremlin s'est autofinancé puisque sa CAF était suffisante pour couvrir son augmentation de BFR et ses investissements. </t>
  </si>
  <si>
    <t xml:space="preserve">Le BFR a quadruplé en 1997 par rapport à 1998 et sa variation n'est plus négligeable par rapport à la CAF. </t>
  </si>
  <si>
    <t xml:space="preserve">En 1998, le BFR a triplé par rapport à 1997 et a été multiplié par 12 par rapport à 1996. </t>
  </si>
  <si>
    <t xml:space="preserve">La CAF, malgrès son augmentation, n'est même pas suffisante pour financer l'augmentation du BFR. </t>
  </si>
  <si>
    <t xml:space="preserve">Cette augmentation du BFR en 1997 a consommé plus de 80% de la CAF et l'entreprise a financé ses investissements par augmentation de capital ce qui lui a permis d'avoir du cash. </t>
  </si>
  <si>
    <t xml:space="preserve">L'entreprise a utilisé son cash des années précédentes et s'est endettée pour couvrir ses besoins de financement. </t>
  </si>
  <si>
    <t>Analyse dynamique (Tableau de trésorerie)</t>
  </si>
  <si>
    <t>Analyse statique (Compte de résultat et Bilan)</t>
  </si>
  <si>
    <t>Endettement net</t>
  </si>
  <si>
    <t>+ Dotations aux amortissements</t>
  </si>
  <si>
    <t>= Excédent Brut d'Exploitation</t>
  </si>
  <si>
    <t xml:space="preserve">Dette nette / EBE </t>
  </si>
  <si>
    <t xml:space="preserve">L'entreprise n'était pas endettée en 1996 et 1997. </t>
  </si>
  <si>
    <t xml:space="preserve">Les variations du BFR ne sont pas négligeable par rapport à la CAF. </t>
  </si>
  <si>
    <t xml:space="preserve">Le ratio dette/EBE n'a donc pas pertinent dans cette analyse. </t>
  </si>
  <si>
    <t>La croissance moyenne des charges (62%) est plus grande que la croissance moyenne des produits (53%). 
L'effet ciseau risque de se manifester (en se projettant dans le futur) à partir de 2001</t>
  </si>
  <si>
    <t>Analyse des financements</t>
  </si>
  <si>
    <t>Analyse de la création des marges</t>
  </si>
  <si>
    <t xml:space="preserve">Cela est en cohérence avec la croissance de son chiffre d'affaire. </t>
  </si>
  <si>
    <t xml:space="preserve">En effet, l'entreprise est en croissance donc il est normal que ses investissements soient plus grands que ses dotations aux amortissements. </t>
  </si>
  <si>
    <t>Evolution des coûts par rapport au chiffre d'affaire</t>
  </si>
  <si>
    <t>% 'Coût des ventes</t>
  </si>
  <si>
    <t>% Coût de distribution et de marketing</t>
  </si>
  <si>
    <t>% Coût administratifs</t>
  </si>
  <si>
    <t>Position de l'entreprise par rapport à son point mort</t>
  </si>
  <si>
    <t>Analyse dynamique en utilisant le tableau de trésorerie</t>
  </si>
  <si>
    <t>Analyse statique en utilisant le bilan et le compte de résultat</t>
  </si>
  <si>
    <t>Analyse du point mort</t>
  </si>
  <si>
    <t>Analys de l'effet ciseau</t>
  </si>
  <si>
    <t>Analyse des rentabilités</t>
  </si>
  <si>
    <t>Analyse de la rentabilité économique</t>
  </si>
  <si>
    <t>Analyse de la rentabilité financière</t>
  </si>
  <si>
    <t xml:space="preserve">Effet levier </t>
  </si>
  <si>
    <t>Rentabilité économique</t>
  </si>
  <si>
    <t>Résultat Net</t>
  </si>
  <si>
    <t>Rentabilité financière</t>
  </si>
  <si>
    <t>= Actif économique</t>
  </si>
  <si>
    <t>Immobilisations</t>
  </si>
  <si>
    <t>Taux d'IS</t>
  </si>
  <si>
    <t>RCAI</t>
  </si>
  <si>
    <t>Impôts</t>
  </si>
  <si>
    <t>En 1996, la rentabilité financière est inférieure à la rentabilité économique car l'entreprise n'est pas endettée et elle a une trésorerie positive qui rapporte certainement moins que l'actif économique.</t>
  </si>
  <si>
    <t>Croissace du Rex</t>
  </si>
  <si>
    <t>% de Rex du CA</t>
  </si>
  <si>
    <t xml:space="preserve">Le chiffre d'affaire est en croissace. </t>
  </si>
  <si>
    <t>Mais le marges sont en décroissance</t>
  </si>
  <si>
    <t>En effet, l'entreprise a des placements dont le taux de rentabilité est inférieure à sa rentabilité financière.</t>
  </si>
  <si>
    <t>Croissance annuelle moyenne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</si>
</sst>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quot;€&quot;* #,##0_-;\-&quot;€&quot;* #,##0_-;_-&quot;€&quot;* &quot;-&quot;??_-;_-@_-"/>
    <numFmt numFmtId="166" formatCode="0.0%"/>
  </numFmts>
  <fonts count="9"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20"/>
      <color theme="1"/>
      <name val="Calibri"/>
      <family val="2"/>
      <scheme val="minor"/>
    </font>
    <font>
      <b/>
      <sz val="16"/>
      <color theme="1"/>
      <name val="Calibri"/>
      <family val="2"/>
      <scheme val="minor"/>
    </font>
    <font>
      <b/>
      <sz val="22"/>
      <color theme="1"/>
      <name val="Calibri"/>
      <family val="2"/>
      <scheme val="minor"/>
    </font>
    <font>
      <b/>
      <sz val="12"/>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59999389629810485"/>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9" fontId="0" fillId="0" borderId="0" xfId="1" applyFont="1"/>
    <xf numFmtId="165" fontId="0" fillId="0" borderId="0" xfId="2" applyNumberFormat="1" applyFont="1"/>
    <xf numFmtId="0" fontId="0" fillId="0" borderId="0" xfId="0" applyAlignment="1">
      <alignment horizontal="center"/>
    </xf>
    <xf numFmtId="165" fontId="0" fillId="0" borderId="0" xfId="0" applyNumberFormat="1"/>
    <xf numFmtId="0" fontId="0" fillId="0" borderId="0" xfId="0" applyAlignment="1">
      <alignment horizontal="center" vertical="center"/>
    </xf>
    <xf numFmtId="165" fontId="0" fillId="0" borderId="0" xfId="2" applyNumberFormat="1" applyFont="1" applyAlignment="1">
      <alignment horizontal="center" vertical="center"/>
    </xf>
    <xf numFmtId="0" fontId="0" fillId="0" borderId="1" xfId="0" applyBorder="1"/>
    <xf numFmtId="165" fontId="0" fillId="0" borderId="2" xfId="2" applyNumberFormat="1" applyFont="1" applyBorder="1" applyAlignment="1">
      <alignment horizontal="center" vertical="center"/>
    </xf>
    <xf numFmtId="9" fontId="0" fillId="0" borderId="3" xfId="1" applyNumberFormat="1" applyFont="1" applyBorder="1" applyAlignment="1">
      <alignment horizontal="center" vertical="center"/>
    </xf>
    <xf numFmtId="0" fontId="0" fillId="0" borderId="4" xfId="0" quotePrefix="1" applyBorder="1"/>
    <xf numFmtId="165" fontId="0" fillId="0" borderId="5" xfId="2" applyNumberFormat="1" applyFont="1" applyBorder="1" applyAlignment="1">
      <alignment horizontal="center" vertical="center"/>
    </xf>
    <xf numFmtId="10" fontId="0" fillId="0" borderId="6" xfId="1" applyNumberFormat="1" applyFont="1" applyBorder="1" applyAlignment="1">
      <alignment horizontal="center" vertical="center"/>
    </xf>
    <xf numFmtId="0" fontId="0" fillId="0" borderId="7" xfId="0" quotePrefix="1" applyBorder="1"/>
    <xf numFmtId="165" fontId="0" fillId="0" borderId="0" xfId="2" applyNumberFormat="1" applyFont="1" applyBorder="1" applyAlignment="1">
      <alignment horizontal="center" vertical="center"/>
    </xf>
    <xf numFmtId="10" fontId="0" fillId="0" borderId="8" xfId="1" applyNumberFormat="1" applyFont="1" applyBorder="1" applyAlignment="1">
      <alignment horizontal="center" vertical="center"/>
    </xf>
    <xf numFmtId="0" fontId="0" fillId="0" borderId="9" xfId="0" quotePrefix="1" applyBorder="1"/>
    <xf numFmtId="165" fontId="0" fillId="0" borderId="10" xfId="2" applyNumberFormat="1" applyFont="1" applyBorder="1" applyAlignment="1">
      <alignment horizontal="center" vertical="center"/>
    </xf>
    <xf numFmtId="10" fontId="0" fillId="0" borderId="11" xfId="1" applyNumberFormat="1"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165" fontId="0" fillId="0" borderId="1" xfId="2" applyNumberFormat="1" applyFont="1" applyBorder="1" applyAlignment="1">
      <alignment horizontal="center" vertical="center"/>
    </xf>
    <xf numFmtId="165" fontId="0" fillId="0" borderId="4" xfId="2" applyNumberFormat="1" applyFont="1" applyBorder="1" applyAlignment="1">
      <alignment horizontal="center" vertical="center"/>
    </xf>
    <xf numFmtId="165" fontId="0" fillId="0" borderId="7" xfId="2" applyNumberFormat="1" applyFont="1" applyBorder="1" applyAlignment="1">
      <alignment horizontal="center" vertical="center"/>
    </xf>
    <xf numFmtId="165" fontId="0" fillId="0" borderId="9" xfId="2" applyNumberFormat="1" applyFont="1" applyBorder="1" applyAlignment="1">
      <alignment horizontal="center" vertical="center"/>
    </xf>
    <xf numFmtId="0" fontId="0" fillId="0" borderId="1" xfId="0" quotePrefix="1" applyBorder="1"/>
    <xf numFmtId="0" fontId="0" fillId="0" borderId="4" xfId="0" applyBorder="1"/>
    <xf numFmtId="0" fontId="0" fillId="0" borderId="9" xfId="0" applyBorder="1"/>
    <xf numFmtId="0" fontId="0" fillId="0" borderId="7" xfId="0" applyBorder="1"/>
    <xf numFmtId="165" fontId="0" fillId="0" borderId="8" xfId="2" applyNumberFormat="1" applyFont="1" applyBorder="1" applyAlignment="1">
      <alignment horizontal="center" vertical="center"/>
    </xf>
    <xf numFmtId="0" fontId="3" fillId="2" borderId="1"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center"/>
    </xf>
    <xf numFmtId="165" fontId="0" fillId="0" borderId="0" xfId="2" applyNumberFormat="1" applyFont="1" applyBorder="1" applyAlignment="1">
      <alignment horizontal="center"/>
    </xf>
    <xf numFmtId="165" fontId="0" fillId="0" borderId="8" xfId="2" applyNumberFormat="1" applyFont="1" applyBorder="1" applyAlignment="1">
      <alignment horizontal="center"/>
    </xf>
    <xf numFmtId="165" fontId="0" fillId="0" borderId="2" xfId="2" applyNumberFormat="1" applyFont="1" applyBorder="1" applyAlignment="1">
      <alignment horizontal="center"/>
    </xf>
    <xf numFmtId="165" fontId="0" fillId="0" borderId="3" xfId="2" applyNumberFormat="1" applyFont="1" applyBorder="1" applyAlignment="1">
      <alignment horizontal="center"/>
    </xf>
    <xf numFmtId="165" fontId="0" fillId="0" borderId="5" xfId="2" applyNumberFormat="1" applyFont="1" applyBorder="1" applyAlignment="1">
      <alignment horizontal="center"/>
    </xf>
    <xf numFmtId="165" fontId="0" fillId="0" borderId="6" xfId="2" applyNumberFormat="1" applyFont="1" applyBorder="1" applyAlignment="1">
      <alignment horizontal="center"/>
    </xf>
    <xf numFmtId="165" fontId="0" fillId="0" borderId="10" xfId="2" applyNumberFormat="1" applyFont="1" applyBorder="1" applyAlignment="1">
      <alignment horizontal="center"/>
    </xf>
    <xf numFmtId="165" fontId="0" fillId="0" borderId="11" xfId="2" applyNumberFormat="1" applyFont="1" applyBorder="1" applyAlignment="1">
      <alignment horizontal="center"/>
    </xf>
    <xf numFmtId="0" fontId="0" fillId="0" borderId="7" xfId="0" applyFill="1" applyBorder="1"/>
    <xf numFmtId="165" fontId="0" fillId="0" borderId="7" xfId="2" applyNumberFormat="1" applyFont="1" applyFill="1" applyBorder="1" applyAlignment="1">
      <alignment horizontal="center" vertical="center"/>
    </xf>
    <xf numFmtId="165" fontId="0" fillId="0" borderId="3" xfId="2" applyNumberFormat="1" applyFont="1" applyBorder="1" applyAlignment="1">
      <alignment horizontal="center" vertical="center"/>
    </xf>
    <xf numFmtId="165" fontId="0" fillId="0" borderId="6" xfId="2"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1" xfId="0" applyFill="1" applyBorder="1"/>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0" xfId="0" applyFont="1" applyFill="1" applyBorder="1"/>
    <xf numFmtId="0" fontId="3" fillId="2" borderId="11" xfId="0" applyFont="1" applyFill="1" applyBorder="1"/>
    <xf numFmtId="165" fontId="0" fillId="0" borderId="5" xfId="2" applyNumberFormat="1" applyFont="1" applyBorder="1"/>
    <xf numFmtId="165" fontId="0" fillId="0" borderId="6" xfId="2" applyNumberFormat="1" applyFont="1" applyBorder="1"/>
    <xf numFmtId="165" fontId="0" fillId="0" borderId="0" xfId="2" applyNumberFormat="1" applyFont="1" applyBorder="1"/>
    <xf numFmtId="165" fontId="0" fillId="0" borderId="8" xfId="2" applyNumberFormat="1" applyFont="1" applyBorder="1"/>
    <xf numFmtId="165" fontId="0" fillId="0" borderId="10" xfId="2" applyNumberFormat="1" applyFont="1" applyBorder="1"/>
    <xf numFmtId="165" fontId="0" fillId="0" borderId="11" xfId="2" applyNumberFormat="1" applyFont="1" applyBorder="1"/>
    <xf numFmtId="165" fontId="3" fillId="2" borderId="2" xfId="0" applyNumberFormat="1" applyFont="1" applyFill="1" applyBorder="1"/>
    <xf numFmtId="165" fontId="3" fillId="2" borderId="3" xfId="0" applyNumberFormat="1" applyFont="1" applyFill="1" applyBorder="1"/>
    <xf numFmtId="0" fontId="0" fillId="0" borderId="13" xfId="0" applyBorder="1"/>
    <xf numFmtId="0" fontId="0" fillId="0" borderId="15" xfId="0" applyBorder="1"/>
    <xf numFmtId="0" fontId="0" fillId="0" borderId="14" xfId="0" applyBorder="1"/>
    <xf numFmtId="0" fontId="3" fillId="2" borderId="12" xfId="0" applyFont="1" applyFill="1" applyBorder="1"/>
    <xf numFmtId="0" fontId="3" fillId="2" borderId="9" xfId="0" applyFont="1" applyFill="1" applyBorder="1"/>
    <xf numFmtId="165" fontId="0" fillId="0" borderId="4" xfId="2" applyNumberFormat="1" applyFont="1" applyBorder="1"/>
    <xf numFmtId="165" fontId="0" fillId="0" borderId="7" xfId="2" applyNumberFormat="1" applyFont="1" applyBorder="1"/>
    <xf numFmtId="165" fontId="0" fillId="0" borderId="9" xfId="2" applyNumberFormat="1" applyFont="1" applyBorder="1"/>
    <xf numFmtId="165" fontId="3" fillId="2" borderId="1" xfId="0" applyNumberFormat="1" applyFont="1" applyFill="1" applyBorder="1"/>
    <xf numFmtId="0" fontId="0" fillId="0" borderId="16" xfId="0" applyBorder="1"/>
    <xf numFmtId="165" fontId="0" fillId="0" borderId="16" xfId="2" applyNumberFormat="1" applyFont="1" applyBorder="1" applyAlignment="1">
      <alignment horizontal="center" vertical="center"/>
    </xf>
    <xf numFmtId="0" fontId="0" fillId="0" borderId="16" xfId="0" quotePrefix="1" applyBorder="1"/>
    <xf numFmtId="0" fontId="0" fillId="0" borderId="16" xfId="0" applyFill="1" applyBorder="1"/>
    <xf numFmtId="165" fontId="0" fillId="0" borderId="16" xfId="0" applyNumberFormat="1" applyBorder="1" applyAlignment="1">
      <alignment horizontal="center" vertical="center"/>
    </xf>
    <xf numFmtId="0" fontId="0" fillId="4" borderId="16" xfId="0" applyFill="1" applyBorder="1"/>
    <xf numFmtId="165" fontId="0" fillId="4" borderId="16" xfId="2" applyNumberFormat="1" applyFont="1" applyFill="1" applyBorder="1" applyAlignment="1">
      <alignment horizontal="center" vertical="center"/>
    </xf>
    <xf numFmtId="0" fontId="0" fillId="0" borderId="16" xfId="0" applyBorder="1" applyAlignment="1">
      <alignment horizontal="center" vertical="center"/>
    </xf>
    <xf numFmtId="0" fontId="3" fillId="2" borderId="16" xfId="0" applyFont="1" applyFill="1" applyBorder="1" applyAlignment="1">
      <alignment horizontal="right" vertical="center"/>
    </xf>
    <xf numFmtId="0" fontId="3" fillId="2" borderId="16" xfId="0" applyFont="1" applyFill="1" applyBorder="1" applyAlignment="1">
      <alignment horizontal="center" vertical="center"/>
    </xf>
    <xf numFmtId="0" fontId="0" fillId="6" borderId="16" xfId="0" applyFill="1" applyBorder="1"/>
    <xf numFmtId="165" fontId="0" fillId="6" borderId="16" xfId="0" applyNumberFormat="1" applyFill="1" applyBorder="1" applyAlignment="1">
      <alignment horizontal="center" vertical="center"/>
    </xf>
    <xf numFmtId="165" fontId="0" fillId="0" borderId="16" xfId="2" applyNumberFormat="1" applyFont="1" applyBorder="1"/>
    <xf numFmtId="0" fontId="3" fillId="2" borderId="16" xfId="0" applyFont="1" applyFill="1" applyBorder="1" applyAlignment="1">
      <alignment horizontal="center"/>
    </xf>
    <xf numFmtId="165" fontId="0" fillId="0" borderId="16" xfId="2" applyNumberFormat="1" applyFont="1" applyBorder="1" applyAlignment="1">
      <alignment horizontal="center"/>
    </xf>
    <xf numFmtId="9" fontId="0" fillId="0" borderId="16" xfId="1" applyFont="1" applyBorder="1" applyAlignment="1">
      <alignment horizontal="center"/>
    </xf>
    <xf numFmtId="0" fontId="0" fillId="0" borderId="8" xfId="0" applyBorder="1" applyAlignment="1">
      <alignment horizontal="center" vertical="center"/>
    </xf>
    <xf numFmtId="0" fontId="0" fillId="0" borderId="0" xfId="0" applyBorder="1"/>
    <xf numFmtId="9" fontId="0" fillId="4" borderId="16" xfId="3" applyFont="1" applyFill="1" applyBorder="1" applyAlignment="1">
      <alignment horizontal="center" vertical="center"/>
    </xf>
    <xf numFmtId="9" fontId="0" fillId="0" borderId="16" xfId="3" applyFont="1" applyBorder="1" applyAlignment="1">
      <alignment horizontal="center" vertical="center"/>
    </xf>
    <xf numFmtId="9" fontId="0" fillId="6" borderId="16" xfId="3" applyFont="1" applyFill="1" applyBorder="1" applyAlignment="1">
      <alignment horizontal="center" vertical="center"/>
    </xf>
    <xf numFmtId="9" fontId="0" fillId="3" borderId="16" xfId="3" applyFont="1" applyFill="1" applyBorder="1" applyAlignment="1">
      <alignment horizontal="center" vertical="center"/>
    </xf>
    <xf numFmtId="0" fontId="0" fillId="0" borderId="0" xfId="0" applyBorder="1" applyAlignment="1">
      <alignment horizontal="center" vertical="center"/>
    </xf>
    <xf numFmtId="0" fontId="0" fillId="0" borderId="19" xfId="0" applyBorder="1"/>
    <xf numFmtId="165" fontId="0" fillId="0" borderId="21" xfId="2" applyNumberFormat="1" applyFont="1" applyBorder="1" applyAlignment="1">
      <alignment horizontal="center" vertical="center"/>
    </xf>
    <xf numFmtId="165" fontId="0" fillId="0" borderId="22" xfId="2" applyNumberFormat="1" applyFont="1" applyBorder="1" applyAlignment="1">
      <alignment horizontal="center" vertical="center"/>
    </xf>
    <xf numFmtId="165" fontId="0" fillId="0" borderId="24" xfId="2" applyNumberFormat="1" applyFont="1" applyBorder="1" applyAlignment="1">
      <alignment horizontal="center" vertical="center"/>
    </xf>
    <xf numFmtId="165" fontId="0" fillId="0" borderId="26" xfId="2" applyNumberFormat="1" applyFont="1" applyBorder="1" applyAlignment="1">
      <alignment horizontal="center" vertical="center"/>
    </xf>
    <xf numFmtId="165" fontId="0" fillId="0" borderId="27" xfId="2" applyNumberFormat="1" applyFont="1" applyBorder="1" applyAlignment="1">
      <alignment horizontal="center" vertical="center"/>
    </xf>
    <xf numFmtId="0" fontId="0" fillId="0" borderId="4" xfId="0" applyFill="1" applyBorder="1"/>
    <xf numFmtId="0" fontId="0" fillId="0" borderId="9" xfId="0" applyFill="1" applyBorder="1"/>
    <xf numFmtId="165" fontId="0" fillId="0" borderId="11" xfId="2" applyNumberFormat="1" applyFont="1" applyBorder="1" applyAlignment="1">
      <alignment horizontal="center" vertical="center"/>
    </xf>
    <xf numFmtId="1" fontId="0" fillId="0" borderId="0" xfId="0" applyNumberFormat="1"/>
    <xf numFmtId="1" fontId="0" fillId="4" borderId="16" xfId="0" applyNumberFormat="1" applyFill="1" applyBorder="1"/>
    <xf numFmtId="165" fontId="0" fillId="4" borderId="29" xfId="0" applyNumberFormat="1" applyFill="1" applyBorder="1"/>
    <xf numFmtId="165" fontId="0" fillId="4" borderId="30" xfId="0" applyNumberFormat="1" applyFill="1" applyBorder="1"/>
    <xf numFmtId="0" fontId="0" fillId="0" borderId="19" xfId="0" applyFill="1" applyBorder="1"/>
    <xf numFmtId="9" fontId="0" fillId="0" borderId="19" xfId="0" applyNumberFormat="1" applyBorder="1"/>
    <xf numFmtId="0" fontId="0" fillId="0" borderId="31" xfId="0" applyBorder="1"/>
    <xf numFmtId="0" fontId="0" fillId="0" borderId="32" xfId="0" applyBorder="1"/>
    <xf numFmtId="0" fontId="0" fillId="0" borderId="33" xfId="0" applyBorder="1"/>
    <xf numFmtId="0" fontId="0" fillId="4" borderId="1" xfId="0" applyFill="1" applyBorder="1"/>
    <xf numFmtId="165" fontId="0" fillId="0" borderId="20" xfId="2" applyNumberFormat="1" applyFont="1" applyBorder="1" applyAlignment="1">
      <alignment horizontal="center" vertical="center"/>
    </xf>
    <xf numFmtId="165" fontId="0" fillId="0" borderId="23" xfId="2" applyNumberFormat="1" applyFont="1" applyBorder="1" applyAlignment="1">
      <alignment horizontal="center" vertical="center"/>
    </xf>
    <xf numFmtId="165" fontId="0" fillId="0" borderId="25" xfId="2" applyNumberFormat="1" applyFont="1" applyBorder="1" applyAlignment="1">
      <alignment horizontal="center" vertical="center"/>
    </xf>
    <xf numFmtId="165" fontId="0" fillId="4" borderId="28" xfId="0" applyNumberFormat="1" applyFill="1" applyBorder="1"/>
    <xf numFmtId="0" fontId="0" fillId="0" borderId="17" xfId="0" applyFill="1" applyBorder="1"/>
    <xf numFmtId="165" fontId="0" fillId="0" borderId="34" xfId="2" applyNumberFormat="1" applyFont="1" applyBorder="1" applyAlignment="1">
      <alignment horizontal="center" vertical="center"/>
    </xf>
    <xf numFmtId="165" fontId="0" fillId="0" borderId="35" xfId="2" applyNumberFormat="1" applyFont="1" applyBorder="1" applyAlignment="1">
      <alignment horizontal="center" vertical="center"/>
    </xf>
    <xf numFmtId="165" fontId="0" fillId="0" borderId="36" xfId="2" applyNumberFormat="1" applyFont="1" applyBorder="1" applyAlignment="1">
      <alignment horizontal="center" vertical="center"/>
    </xf>
    <xf numFmtId="0" fontId="0" fillId="0" borderId="16" xfId="0" applyFill="1" applyBorder="1" applyAlignment="1">
      <alignment horizontal="left" indent="2"/>
    </xf>
    <xf numFmtId="0" fontId="0" fillId="0" borderId="16" xfId="0" quotePrefix="1" applyBorder="1" applyAlignment="1">
      <alignment horizontal="left" indent="2"/>
    </xf>
    <xf numFmtId="0" fontId="0" fillId="4" borderId="20" xfId="0" applyFill="1" applyBorder="1"/>
    <xf numFmtId="1" fontId="0" fillId="4" borderId="21" xfId="0" applyNumberFormat="1" applyFill="1" applyBorder="1"/>
    <xf numFmtId="1" fontId="0" fillId="4" borderId="22" xfId="0" applyNumberFormat="1" applyFill="1" applyBorder="1"/>
    <xf numFmtId="0" fontId="0" fillId="4" borderId="23" xfId="0" applyFill="1" applyBorder="1"/>
    <xf numFmtId="1" fontId="0" fillId="4" borderId="24" xfId="0" applyNumberFormat="1" applyFill="1" applyBorder="1"/>
    <xf numFmtId="0" fontId="0" fillId="4" borderId="25" xfId="0" applyFill="1" applyBorder="1"/>
    <xf numFmtId="1" fontId="0" fillId="4" borderId="26" xfId="0" applyNumberFormat="1" applyFill="1" applyBorder="1"/>
    <xf numFmtId="1" fontId="0" fillId="4" borderId="27" xfId="0" applyNumberFormat="1" applyFill="1" applyBorder="1"/>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7" borderId="16" xfId="0" applyFont="1" applyFill="1" applyBorder="1" applyAlignment="1">
      <alignment horizontal="center" vertical="center"/>
    </xf>
    <xf numFmtId="9" fontId="0" fillId="6" borderId="19" xfId="3" applyFont="1" applyFill="1" applyBorder="1" applyAlignment="1">
      <alignment horizontal="center" vertical="center"/>
    </xf>
    <xf numFmtId="165" fontId="0" fillId="6" borderId="37" xfId="0" applyNumberFormat="1" applyFill="1" applyBorder="1" applyAlignment="1">
      <alignment horizontal="center" vertical="center"/>
    </xf>
    <xf numFmtId="0" fontId="3" fillId="2" borderId="38" xfId="0" applyFont="1" applyFill="1" applyBorder="1" applyAlignment="1">
      <alignment horizontal="center" vertical="center" wrapText="1"/>
    </xf>
    <xf numFmtId="0" fontId="0" fillId="0" borderId="38" xfId="0" applyBorder="1" applyAlignment="1">
      <alignment horizontal="center" vertical="center"/>
    </xf>
    <xf numFmtId="9" fontId="0" fillId="5" borderId="38" xfId="3" applyFont="1" applyFill="1" applyBorder="1" applyAlignment="1">
      <alignment horizontal="center" vertical="center"/>
    </xf>
    <xf numFmtId="165" fontId="0" fillId="0" borderId="38" xfId="2" applyNumberFormat="1" applyFont="1" applyBorder="1" applyAlignment="1">
      <alignment horizontal="center" vertical="center"/>
    </xf>
    <xf numFmtId="165" fontId="0" fillId="6" borderId="38" xfId="0" applyNumberFormat="1" applyFill="1" applyBorder="1" applyAlignment="1">
      <alignment horizontal="center" vertical="center"/>
    </xf>
    <xf numFmtId="165" fontId="0" fillId="0" borderId="18" xfId="2" applyNumberFormat="1" applyFont="1" applyBorder="1" applyAlignment="1">
      <alignment horizontal="center" vertical="center"/>
    </xf>
    <xf numFmtId="165" fontId="0" fillId="0" borderId="37" xfId="2" applyNumberFormat="1" applyFont="1" applyBorder="1" applyAlignment="1">
      <alignment horizontal="center" vertical="center"/>
    </xf>
    <xf numFmtId="0" fontId="3" fillId="2" borderId="16" xfId="0" applyFont="1" applyFill="1" applyBorder="1"/>
    <xf numFmtId="9" fontId="0" fillId="0" borderId="16" xfId="0" applyNumberFormat="1" applyBorder="1"/>
    <xf numFmtId="0" fontId="0" fillId="0" borderId="1" xfId="0" applyBorder="1" applyAlignment="1">
      <alignment wrapText="1"/>
    </xf>
    <xf numFmtId="0" fontId="0" fillId="0" borderId="0" xfId="0" applyAlignment="1">
      <alignment vertical="center"/>
    </xf>
    <xf numFmtId="165" fontId="0" fillId="0" borderId="16" xfId="0" applyNumberFormat="1" applyBorder="1" applyAlignment="1">
      <alignment vertical="center"/>
    </xf>
    <xf numFmtId="2" fontId="0" fillId="0" borderId="16" xfId="0" applyNumberFormat="1" applyBorder="1" applyAlignment="1">
      <alignment horizontal="center" vertical="center"/>
    </xf>
    <xf numFmtId="9" fontId="0" fillId="0" borderId="16" xfId="1" applyFont="1" applyBorder="1" applyAlignment="1">
      <alignment horizontal="center" vertical="center"/>
    </xf>
    <xf numFmtId="0" fontId="3" fillId="2" borderId="19" xfId="0" applyFont="1" applyFill="1" applyBorder="1" applyAlignment="1">
      <alignment horizontal="center" vertical="center"/>
    </xf>
    <xf numFmtId="0" fontId="3" fillId="4" borderId="16" xfId="0" applyFont="1" applyFill="1" applyBorder="1"/>
    <xf numFmtId="9" fontId="3" fillId="4" borderId="16" xfId="1" applyFont="1" applyFill="1" applyBorder="1"/>
    <xf numFmtId="166" fontId="0" fillId="0" borderId="16" xfId="1" applyNumberFormat="1" applyFont="1" applyBorder="1"/>
    <xf numFmtId="9" fontId="0" fillId="0" borderId="0" xfId="3" applyFont="1" applyBorder="1" applyAlignment="1">
      <alignment horizontal="center" vertical="center"/>
    </xf>
    <xf numFmtId="0" fontId="0" fillId="0" borderId="0" xfId="0" applyFill="1" applyBorder="1"/>
    <xf numFmtId="9" fontId="0" fillId="0" borderId="0" xfId="1" applyFont="1" applyBorder="1" applyAlignment="1">
      <alignment horizontal="center" vertical="center"/>
    </xf>
    <xf numFmtId="0" fontId="8" fillId="0" borderId="0" xfId="0" applyFont="1"/>
    <xf numFmtId="0" fontId="3" fillId="2" borderId="0" xfId="0" applyFont="1" applyFill="1" applyAlignment="1">
      <alignment vertical="center" wrapText="1"/>
    </xf>
    <xf numFmtId="9" fontId="0" fillId="0" borderId="0" xfId="1" applyFont="1" applyAlignment="1">
      <alignment horizontal="center"/>
    </xf>
    <xf numFmtId="166" fontId="3" fillId="4" borderId="16" xfId="1" applyNumberFormat="1" applyFont="1" applyFill="1" applyBorder="1"/>
    <xf numFmtId="0" fontId="3" fillId="2" borderId="0"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18" xfId="0" applyBorder="1" applyAlignment="1">
      <alignment horizontal="left" vertical="center" wrapText="1"/>
    </xf>
    <xf numFmtId="0" fontId="6" fillId="2" borderId="45" xfId="0" applyFont="1" applyFill="1" applyBorder="1" applyAlignment="1">
      <alignment horizontal="center"/>
    </xf>
    <xf numFmtId="0" fontId="6" fillId="2" borderId="46" xfId="0" applyFont="1" applyFill="1" applyBorder="1" applyAlignment="1">
      <alignment horizontal="center"/>
    </xf>
    <xf numFmtId="0" fontId="6" fillId="2" borderId="38" xfId="0" applyFont="1" applyFill="1" applyBorder="1" applyAlignment="1">
      <alignment horizontal="center"/>
    </xf>
    <xf numFmtId="0" fontId="7" fillId="8" borderId="45" xfId="0" applyFont="1" applyFill="1" applyBorder="1" applyAlignment="1">
      <alignment horizontal="center"/>
    </xf>
    <xf numFmtId="0" fontId="7" fillId="8" borderId="46" xfId="0" applyFont="1" applyFill="1" applyBorder="1" applyAlignment="1">
      <alignment horizontal="center"/>
    </xf>
    <xf numFmtId="0" fontId="7" fillId="8" borderId="38" xfId="0" applyFont="1" applyFill="1" applyBorder="1" applyAlignment="1">
      <alignment horizontal="center"/>
    </xf>
    <xf numFmtId="0" fontId="4" fillId="2" borderId="16" xfId="0" applyFont="1" applyFill="1" applyBorder="1" applyAlignment="1">
      <alignment horizontal="center"/>
    </xf>
    <xf numFmtId="0" fontId="7" fillId="8" borderId="16" xfId="0" applyFont="1" applyFill="1" applyBorder="1" applyAlignment="1">
      <alignment horizontal="center"/>
    </xf>
  </cellXfs>
  <cellStyles count="4">
    <cellStyle name="Currency" xfId="2" builtinId="4"/>
    <cellStyle name="Normal" xfId="0" builtinId="0"/>
    <cellStyle name="Percent" xfId="1" builtinId="5"/>
    <cellStyle name="Pourcentage 2" xf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strRef>
              <c:f>'Analyse des marges'!$C$24</c:f>
              <c:strCache>
                <c:ptCount val="1"/>
                <c:pt idx="0">
                  <c:v>Chiffre d'affaire</c:v>
                </c:pt>
              </c:strCache>
            </c:strRef>
          </c:tx>
          <c:spPr>
            <a:ln w="19050" cap="rnd">
              <a:solidFill>
                <a:schemeClr val="accent6"/>
              </a:solidFill>
              <a:round/>
            </a:ln>
            <a:effectLst/>
          </c:spPr>
          <c:marker>
            <c:symbol val="none"/>
          </c:marker>
          <c:xVal>
            <c:numRef>
              <c:f>'Analyse des marges'!$D$23:$K$23</c:f>
              <c:numCache>
                <c:formatCode>General</c:formatCode>
                <c:ptCount val="8"/>
                <c:pt idx="0">
                  <c:v>1996</c:v>
                </c:pt>
                <c:pt idx="1">
                  <c:v>1997</c:v>
                </c:pt>
                <c:pt idx="2">
                  <c:v>1998</c:v>
                </c:pt>
                <c:pt idx="3">
                  <c:v>1999</c:v>
                </c:pt>
                <c:pt idx="4">
                  <c:v>2000</c:v>
                </c:pt>
                <c:pt idx="5">
                  <c:v>2001</c:v>
                </c:pt>
                <c:pt idx="6">
                  <c:v>2002</c:v>
                </c:pt>
                <c:pt idx="7">
                  <c:v>2003</c:v>
                </c:pt>
              </c:numCache>
            </c:numRef>
          </c:xVal>
          <c:yVal>
            <c:numRef>
              <c:f>'Analyse des marges'!$D$24:$K$24</c:f>
              <c:numCache>
                <c:formatCode>_-"€"* #\ ##0_-;\-"€"* #\ ##0_-;_-"€"* "-"??_-;_-@_-</c:formatCode>
                <c:ptCount val="8"/>
                <c:pt idx="0">
                  <c:v>7545</c:v>
                </c:pt>
                <c:pt idx="1">
                  <c:v>9995</c:v>
                </c:pt>
                <c:pt idx="2">
                  <c:v>17738</c:v>
                </c:pt>
                <c:pt idx="3">
                  <c:v>27197.397819412472</c:v>
                </c:pt>
                <c:pt idx="4">
                  <c:v>41701.344466534123</c:v>
                </c:pt>
                <c:pt idx="5">
                  <c:v>63940.018889428546</c:v>
                </c:pt>
                <c:pt idx="6">
                  <c:v>98038.230370759731</c:v>
                </c:pt>
                <c:pt idx="7">
                  <c:v>150320.48443481556</c:v>
                </c:pt>
              </c:numCache>
            </c:numRef>
          </c:yVal>
          <c:smooth val="1"/>
          <c:extLst xmlns:c16r2="http://schemas.microsoft.com/office/drawing/2015/06/chart">
            <c:ext xmlns:c16="http://schemas.microsoft.com/office/drawing/2014/chart" uri="{C3380CC4-5D6E-409C-BE32-E72D297353CC}">
              <c16:uniqueId val="{00000003-B51C-4645-ABC1-282582A5C783}"/>
            </c:ext>
          </c:extLst>
        </c:ser>
        <c:ser>
          <c:idx val="0"/>
          <c:order val="1"/>
          <c:tx>
            <c:strRef>
              <c:f>'Analyse des marges'!$C$29</c:f>
              <c:strCache>
                <c:ptCount val="1"/>
                <c:pt idx="0">
                  <c:v>Total des charges d'exploitation</c:v>
                </c:pt>
              </c:strCache>
            </c:strRef>
          </c:tx>
          <c:spPr>
            <a:ln w="19050" cap="rnd">
              <a:solidFill>
                <a:srgbClr val="FF0000"/>
              </a:solidFill>
              <a:round/>
            </a:ln>
            <a:effectLst/>
          </c:spPr>
          <c:marker>
            <c:symbol val="none"/>
          </c:marker>
          <c:dPt>
            <c:idx val="1"/>
            <c:marker>
              <c:symbol val="none"/>
            </c:marker>
            <c:bubble3D val="0"/>
            <c:spPr>
              <a:ln w="19050" cap="rnd">
                <a:solidFill>
                  <a:srgbClr val="FF0000"/>
                </a:solidFill>
                <a:round/>
              </a:ln>
              <a:effectLst/>
            </c:spPr>
            <c:extLst xmlns:c16r2="http://schemas.microsoft.com/office/drawing/2015/06/chart">
              <c:ext xmlns:c16="http://schemas.microsoft.com/office/drawing/2014/chart" uri="{C3380CC4-5D6E-409C-BE32-E72D297353CC}">
                <c16:uniqueId val="{00000005-B51C-4645-ABC1-282582A5C783}"/>
              </c:ext>
            </c:extLst>
          </c:dPt>
          <c:dPt>
            <c:idx val="2"/>
            <c:marker>
              <c:symbol val="none"/>
            </c:marker>
            <c:bubble3D val="0"/>
            <c:spPr>
              <a:ln w="19050" cap="rnd">
                <a:solidFill>
                  <a:srgbClr val="FF0000"/>
                </a:solidFill>
                <a:round/>
              </a:ln>
              <a:effectLst/>
            </c:spPr>
            <c:extLst xmlns:c16r2="http://schemas.microsoft.com/office/drawing/2015/06/chart">
              <c:ext xmlns:c16="http://schemas.microsoft.com/office/drawing/2014/chart" uri="{C3380CC4-5D6E-409C-BE32-E72D297353CC}">
                <c16:uniqueId val="{00000007-B51C-4645-ABC1-282582A5C783}"/>
              </c:ext>
            </c:extLst>
          </c:dPt>
          <c:xVal>
            <c:numRef>
              <c:f>'Analyse des marges'!$D$23:$K$23</c:f>
              <c:numCache>
                <c:formatCode>General</c:formatCode>
                <c:ptCount val="8"/>
                <c:pt idx="0">
                  <c:v>1996</c:v>
                </c:pt>
                <c:pt idx="1">
                  <c:v>1997</c:v>
                </c:pt>
                <c:pt idx="2">
                  <c:v>1998</c:v>
                </c:pt>
                <c:pt idx="3">
                  <c:v>1999</c:v>
                </c:pt>
                <c:pt idx="4">
                  <c:v>2000</c:v>
                </c:pt>
                <c:pt idx="5">
                  <c:v>2001</c:v>
                </c:pt>
                <c:pt idx="6">
                  <c:v>2002</c:v>
                </c:pt>
                <c:pt idx="7">
                  <c:v>2003</c:v>
                </c:pt>
              </c:numCache>
            </c:numRef>
          </c:xVal>
          <c:yVal>
            <c:numRef>
              <c:f>'Analyse des marges'!$D$29:$K$29</c:f>
              <c:numCache>
                <c:formatCode>_-"€"* #\ ##0_-;\-"€"* #\ ##0_-;_-"€"* "-"??_-;_-@_-</c:formatCode>
                <c:ptCount val="8"/>
                <c:pt idx="0">
                  <c:v>5672</c:v>
                </c:pt>
                <c:pt idx="1">
                  <c:v>7760</c:v>
                </c:pt>
                <c:pt idx="2">
                  <c:v>14977</c:v>
                </c:pt>
                <c:pt idx="3">
                  <c:v>24337.117203392962</c:v>
                </c:pt>
                <c:pt idx="4">
                  <c:v>39546.990303244012</c:v>
                </c:pt>
                <c:pt idx="5">
                  <c:v>64262.518398310371</c:v>
                </c:pt>
                <c:pt idx="6">
                  <c:v>104424.41357046644</c:v>
                </c:pt>
                <c:pt idx="7">
                  <c:v>169686.13153235093</c:v>
                </c:pt>
              </c:numCache>
            </c:numRef>
          </c:yVal>
          <c:smooth val="1"/>
          <c:extLst xmlns:c16r2="http://schemas.microsoft.com/office/drawing/2015/06/chart">
            <c:ext xmlns:c16="http://schemas.microsoft.com/office/drawing/2014/chart" uri="{C3380CC4-5D6E-409C-BE32-E72D297353CC}">
              <c16:uniqueId val="{00000009-B51C-4645-ABC1-282582A5C783}"/>
            </c:ext>
          </c:extLst>
        </c:ser>
        <c:dLbls>
          <c:showLegendKey val="0"/>
          <c:showVal val="0"/>
          <c:showCatName val="0"/>
          <c:showSerName val="0"/>
          <c:showPercent val="0"/>
          <c:showBubbleSize val="0"/>
        </c:dLbls>
        <c:axId val="973235600"/>
        <c:axId val="973236160"/>
      </c:scatterChart>
      <c:valAx>
        <c:axId val="973235600"/>
        <c:scaling>
          <c:orientation val="minMax"/>
          <c:max val="2003"/>
          <c:min val="199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973236160"/>
        <c:crosses val="autoZero"/>
        <c:crossBetween val="midCat"/>
        <c:majorUnit val="1"/>
      </c:valAx>
      <c:valAx>
        <c:axId val="97323616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 ##0_-;\-&quot;€&quot;* #\ ##0_-;_-&quot;€&quot;* &quot;-&quot;??_-;_-@_-"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fr-FR"/>
          </a:p>
        </c:txPr>
        <c:crossAx val="973235600"/>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'Analyse des marges'!$C$66</c:f>
          <c:strCache>
            <c:ptCount val="1"/>
            <c:pt idx="0">
              <c:v>Evolution des coûts par rapport au chiffre d'affaire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'Analyse des marges'!$C$71</c:f>
              <c:strCache>
                <c:ptCount val="1"/>
                <c:pt idx="0">
                  <c:v>% 'Coût des ventes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'Analyse des marges'!$D$68:$F$68</c:f>
              <c:numCache>
                <c:formatCode>General</c:formatCode>
                <c:ptCount val="3"/>
                <c:pt idx="0">
                  <c:v>1996</c:v>
                </c:pt>
                <c:pt idx="1">
                  <c:v>1997</c:v>
                </c:pt>
                <c:pt idx="2">
                  <c:v>1998</c:v>
                </c:pt>
              </c:numCache>
            </c:numRef>
          </c:xVal>
          <c:yVal>
            <c:numRef>
              <c:f>'Analyse des marges'!$D$71:$F$71</c:f>
              <c:numCache>
                <c:formatCode>0%</c:formatCode>
                <c:ptCount val="3"/>
                <c:pt idx="0">
                  <c:v>0.4303512259774685</c:v>
                </c:pt>
                <c:pt idx="1">
                  <c:v>0.44822411205602802</c:v>
                </c:pt>
                <c:pt idx="2">
                  <c:v>0.54329687676175442</c:v>
                </c:pt>
              </c:numCache>
            </c:numRef>
          </c:yVal>
          <c:smooth val="1"/>
        </c:ser>
        <c:ser>
          <c:idx val="1"/>
          <c:order val="1"/>
          <c:tx>
            <c:strRef>
              <c:f>'Analyse des marges'!$C$73</c:f>
              <c:strCache>
                <c:ptCount val="1"/>
                <c:pt idx="0">
                  <c:v>% Coût de distribution et de marketing</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'Analyse des marges'!$D$68:$F$68</c:f>
              <c:numCache>
                <c:formatCode>General</c:formatCode>
                <c:ptCount val="3"/>
                <c:pt idx="0">
                  <c:v>1996</c:v>
                </c:pt>
                <c:pt idx="1">
                  <c:v>1997</c:v>
                </c:pt>
                <c:pt idx="2">
                  <c:v>1998</c:v>
                </c:pt>
              </c:numCache>
            </c:numRef>
          </c:xVal>
          <c:yVal>
            <c:numRef>
              <c:f>'Analyse des marges'!$D$73:$F$73</c:f>
              <c:numCache>
                <c:formatCode>0%</c:formatCode>
                <c:ptCount val="3"/>
                <c:pt idx="0">
                  <c:v>0.10576540755467197</c:v>
                </c:pt>
                <c:pt idx="1">
                  <c:v>9.6148074037018513E-2</c:v>
                </c:pt>
                <c:pt idx="2">
                  <c:v>0.136824895704138</c:v>
                </c:pt>
              </c:numCache>
            </c:numRef>
          </c:yVal>
          <c:smooth val="1"/>
        </c:ser>
        <c:ser>
          <c:idx val="2"/>
          <c:order val="2"/>
          <c:tx>
            <c:strRef>
              <c:f>'Analyse des marges'!$C$75</c:f>
              <c:strCache>
                <c:ptCount val="1"/>
                <c:pt idx="0">
                  <c:v>% Coût administratifs</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'Analyse des marges'!$D$68:$F$68</c:f>
              <c:numCache>
                <c:formatCode>General</c:formatCode>
                <c:ptCount val="3"/>
                <c:pt idx="0">
                  <c:v>1996</c:v>
                </c:pt>
                <c:pt idx="1">
                  <c:v>1997</c:v>
                </c:pt>
                <c:pt idx="2">
                  <c:v>1998</c:v>
                </c:pt>
              </c:numCache>
            </c:numRef>
          </c:xVal>
          <c:yVal>
            <c:numRef>
              <c:f>'Analyse des marges'!$D$75:$F$75</c:f>
              <c:numCache>
                <c:formatCode>0%</c:formatCode>
                <c:ptCount val="3"/>
                <c:pt idx="0">
                  <c:v>0.21563949635520213</c:v>
                </c:pt>
                <c:pt idx="1">
                  <c:v>0.23201600800400199</c:v>
                </c:pt>
                <c:pt idx="2">
                  <c:v>0.16422370052993573</c:v>
                </c:pt>
              </c:numCache>
            </c:numRef>
          </c:yVal>
          <c:smooth val="1"/>
        </c:ser>
        <c:dLbls>
          <c:showLegendKey val="0"/>
          <c:showVal val="0"/>
          <c:showCatName val="0"/>
          <c:showSerName val="0"/>
          <c:showPercent val="0"/>
          <c:showBubbleSize val="0"/>
        </c:dLbls>
        <c:axId val="1048891776"/>
        <c:axId val="1048892336"/>
      </c:scatterChart>
      <c:valAx>
        <c:axId val="10488917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892336"/>
        <c:crosses val="autoZero"/>
        <c:crossBetween val="midCat"/>
      </c:valAx>
      <c:valAx>
        <c:axId val="1048892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4889177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466725</xdr:colOff>
      <xdr:row>0</xdr:row>
      <xdr:rowOff>190500</xdr:rowOff>
    </xdr:from>
    <xdr:to>
      <xdr:col>14</xdr:col>
      <xdr:colOff>456468</xdr:colOff>
      <xdr:row>31</xdr:row>
      <xdr:rowOff>189662</xdr:rowOff>
    </xdr:to>
    <xdr:pic>
      <xdr:nvPicPr>
        <xdr:cNvPr id="3" name="Picture 2"/>
        <xdr:cNvPicPr>
          <a:picLocks noChangeAspect="1"/>
        </xdr:cNvPicPr>
      </xdr:nvPicPr>
      <xdr:blipFill>
        <a:blip xmlns:r="http://schemas.openxmlformats.org/officeDocument/2006/relationships" r:embed="rId1"/>
        <a:stretch>
          <a:fillRect/>
        </a:stretch>
      </xdr:blipFill>
      <xdr:spPr>
        <a:xfrm>
          <a:off x="6648450" y="190500"/>
          <a:ext cx="5857143" cy="6704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47625</xdr:rowOff>
    </xdr:from>
    <xdr:to>
      <xdr:col>11</xdr:col>
      <xdr:colOff>656298</xdr:colOff>
      <xdr:row>28</xdr:row>
      <xdr:rowOff>199331</xdr:rowOff>
    </xdr:to>
    <xdr:pic>
      <xdr:nvPicPr>
        <xdr:cNvPr id="2" name="Picture 1"/>
        <xdr:cNvPicPr>
          <a:picLocks noChangeAspect="1"/>
        </xdr:cNvPicPr>
      </xdr:nvPicPr>
      <xdr:blipFill>
        <a:blip xmlns:r="http://schemas.openxmlformats.org/officeDocument/2006/relationships" r:embed="rId1"/>
        <a:stretch>
          <a:fillRect/>
        </a:stretch>
      </xdr:blipFill>
      <xdr:spPr>
        <a:xfrm>
          <a:off x="781050" y="247650"/>
          <a:ext cx="7419048" cy="55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59</xdr:row>
      <xdr:rowOff>152400</xdr:rowOff>
    </xdr:from>
    <xdr:to>
      <xdr:col>6</xdr:col>
      <xdr:colOff>332695</xdr:colOff>
      <xdr:row>98</xdr:row>
      <xdr:rowOff>151425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76350" y="12115800"/>
          <a:ext cx="5438095" cy="7800000"/>
        </a:xfrm>
        <a:prstGeom prst="rect">
          <a:avLst/>
        </a:prstGeom>
      </xdr:spPr>
    </xdr:pic>
    <xdr:clientData/>
  </xdr:twoCellAnchor>
  <xdr:twoCellAnchor editAs="oneCell">
    <xdr:from>
      <xdr:col>7</xdr:col>
      <xdr:colOff>609600</xdr:colOff>
      <xdr:row>59</xdr:row>
      <xdr:rowOff>152400</xdr:rowOff>
    </xdr:from>
    <xdr:to>
      <xdr:col>14</xdr:col>
      <xdr:colOff>170771</xdr:colOff>
      <xdr:row>98</xdr:row>
      <xdr:rowOff>141901</xdr:rowOff>
    </xdr:to>
    <xdr:pic>
      <xdr:nvPicPr>
        <xdr:cNvPr id="4" name="Picture 3"/>
        <xdr:cNvPicPr>
          <a:picLocks noChangeAspect="1"/>
        </xdr:cNvPicPr>
      </xdr:nvPicPr>
      <xdr:blipFill>
        <a:blip xmlns:r="http://schemas.openxmlformats.org/officeDocument/2006/relationships" r:embed="rId2"/>
        <a:stretch>
          <a:fillRect/>
        </a:stretch>
      </xdr:blipFill>
      <xdr:spPr>
        <a:xfrm>
          <a:off x="7829550" y="12106275"/>
          <a:ext cx="5428571" cy="7790476"/>
        </a:xfrm>
        <a:prstGeom prst="rect">
          <a:avLst/>
        </a:prstGeom>
      </xdr:spPr>
    </xdr:pic>
    <xdr:clientData/>
  </xdr:twoCellAnchor>
  <xdr:twoCellAnchor editAs="oneCell">
    <xdr:from>
      <xdr:col>2</xdr:col>
      <xdr:colOff>0</xdr:colOff>
      <xdr:row>20</xdr:row>
      <xdr:rowOff>0</xdr:rowOff>
    </xdr:from>
    <xdr:to>
      <xdr:col>6</xdr:col>
      <xdr:colOff>342219</xdr:colOff>
      <xdr:row>59</xdr:row>
      <xdr:rowOff>8549</xdr:rowOff>
    </xdr:to>
    <xdr:pic>
      <xdr:nvPicPr>
        <xdr:cNvPr id="5" name="Picture 4"/>
        <xdr:cNvPicPr>
          <a:picLocks noChangeAspect="1"/>
        </xdr:cNvPicPr>
      </xdr:nvPicPr>
      <xdr:blipFill>
        <a:blip xmlns:r="http://schemas.openxmlformats.org/officeDocument/2006/relationships" r:embed="rId3"/>
        <a:stretch>
          <a:fillRect/>
        </a:stretch>
      </xdr:blipFill>
      <xdr:spPr>
        <a:xfrm>
          <a:off x="1276350" y="4162425"/>
          <a:ext cx="5447619" cy="7809524"/>
        </a:xfrm>
        <a:prstGeom prst="rect">
          <a:avLst/>
        </a:prstGeom>
      </xdr:spPr>
    </xdr:pic>
    <xdr:clientData/>
  </xdr:twoCellAnchor>
  <xdr:twoCellAnchor editAs="oneCell">
    <xdr:from>
      <xdr:col>7</xdr:col>
      <xdr:colOff>552450</xdr:colOff>
      <xdr:row>19</xdr:row>
      <xdr:rowOff>171450</xdr:rowOff>
    </xdr:from>
    <xdr:to>
      <xdr:col>14</xdr:col>
      <xdr:colOff>151717</xdr:colOff>
      <xdr:row>58</xdr:row>
      <xdr:rowOff>170475</xdr:rowOff>
    </xdr:to>
    <xdr:pic>
      <xdr:nvPicPr>
        <xdr:cNvPr id="6" name="Picture 5"/>
        <xdr:cNvPicPr>
          <a:picLocks noChangeAspect="1"/>
        </xdr:cNvPicPr>
      </xdr:nvPicPr>
      <xdr:blipFill>
        <a:blip xmlns:r="http://schemas.openxmlformats.org/officeDocument/2006/relationships" r:embed="rId4"/>
        <a:stretch>
          <a:fillRect/>
        </a:stretch>
      </xdr:blipFill>
      <xdr:spPr>
        <a:xfrm>
          <a:off x="7772400" y="4124325"/>
          <a:ext cx="5466667" cy="78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1121</xdr:colOff>
      <xdr:row>39</xdr:row>
      <xdr:rowOff>89649</xdr:rowOff>
    </xdr:from>
    <xdr:to>
      <xdr:col>11</xdr:col>
      <xdr:colOff>67235</xdr:colOff>
      <xdr:row>59</xdr:row>
      <xdr:rowOff>0</xdr:rowOff>
    </xdr:to>
    <xdr:graphicFrame macro="">
      <xdr:nvGraphicFramePr>
        <xdr:cNvPr id="2" name="Graphique 1">
          <a:extLst>
            <a:ext uri="{FF2B5EF4-FFF2-40B4-BE49-F238E27FC236}">
              <a16:creationId xmlns="" xmlns:a16="http://schemas.microsoft.com/office/drawing/2014/main" id="{6A2F7DD9-F5A8-4E8F-8019-56827CD727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537883</xdr:colOff>
      <xdr:row>64</xdr:row>
      <xdr:rowOff>40341</xdr:rowOff>
    </xdr:from>
    <xdr:to>
      <xdr:col>14</xdr:col>
      <xdr:colOff>246529</xdr:colOff>
      <xdr:row>77</xdr:row>
      <xdr:rowOff>161365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5:F26"/>
  <sheetViews>
    <sheetView workbookViewId="0">
      <selection activeCell="D17" sqref="D17"/>
    </sheetView>
  </sheetViews>
  <sheetFormatPr defaultColWidth="11" defaultRowHeight="15.75" x14ac:dyDescent="0.25"/>
  <cols>
    <col min="3" max="3" width="12.875" bestFit="1" customWidth="1"/>
    <col min="4" max="5" width="12.125" bestFit="1" customWidth="1"/>
    <col min="6" max="6" width="13.125" customWidth="1"/>
  </cols>
  <sheetData>
    <row r="5" spans="2:6" ht="55.5" customHeight="1" x14ac:dyDescent="0.25">
      <c r="C5" s="159" t="s">
        <v>0</v>
      </c>
      <c r="D5" s="159" t="s">
        <v>1</v>
      </c>
      <c r="E5" s="159" t="s">
        <v>2</v>
      </c>
      <c r="F5" s="159" t="s">
        <v>195</v>
      </c>
    </row>
    <row r="6" spans="2:6" x14ac:dyDescent="0.25">
      <c r="B6">
        <v>1</v>
      </c>
      <c r="C6" t="s">
        <v>3</v>
      </c>
      <c r="D6" s="2">
        <v>31596</v>
      </c>
      <c r="E6" s="2">
        <v>53484</v>
      </c>
      <c r="F6" s="160">
        <f>((E6/D6)^(1/3))-1</f>
        <v>0.19178319790672993</v>
      </c>
    </row>
    <row r="7" spans="2:6" x14ac:dyDescent="0.25">
      <c r="B7">
        <v>2</v>
      </c>
      <c r="C7" t="s">
        <v>18</v>
      </c>
      <c r="D7" s="2">
        <v>5500</v>
      </c>
      <c r="E7" s="2">
        <v>17738</v>
      </c>
      <c r="F7" s="160">
        <f t="shared" ref="F7:F23" si="0">((E7/D7)^(1/3))-1</f>
        <v>0.47745406416617509</v>
      </c>
    </row>
    <row r="8" spans="2:6" x14ac:dyDescent="0.25">
      <c r="B8">
        <v>3</v>
      </c>
      <c r="C8" t="s">
        <v>4</v>
      </c>
      <c r="D8" s="2">
        <v>5703</v>
      </c>
      <c r="E8" s="2">
        <v>13927</v>
      </c>
      <c r="F8" s="160">
        <f t="shared" si="0"/>
        <v>0.34663966177366912</v>
      </c>
    </row>
    <row r="9" spans="2:6" x14ac:dyDescent="0.25">
      <c r="B9">
        <v>4</v>
      </c>
      <c r="C9" t="s">
        <v>5</v>
      </c>
      <c r="D9" s="2">
        <v>3161</v>
      </c>
      <c r="E9" s="2">
        <v>4067</v>
      </c>
      <c r="F9" s="160">
        <f t="shared" si="0"/>
        <v>8.7635127278616443E-2</v>
      </c>
    </row>
    <row r="10" spans="2:6" x14ac:dyDescent="0.25">
      <c r="B10">
        <v>5</v>
      </c>
      <c r="C10" t="s">
        <v>6</v>
      </c>
      <c r="D10" s="2">
        <v>3037</v>
      </c>
      <c r="E10" s="2">
        <v>2629</v>
      </c>
      <c r="F10" s="160">
        <f t="shared" si="0"/>
        <v>-4.6950923789234267E-2</v>
      </c>
    </row>
    <row r="11" spans="2:6" x14ac:dyDescent="0.25">
      <c r="B11">
        <v>6</v>
      </c>
      <c r="C11" t="s">
        <v>7</v>
      </c>
      <c r="D11" s="2">
        <v>474</v>
      </c>
      <c r="E11" s="2">
        <v>874</v>
      </c>
      <c r="F11" s="160">
        <f t="shared" si="0"/>
        <v>0.22624626332280018</v>
      </c>
    </row>
    <row r="12" spans="2:6" x14ac:dyDescent="0.25">
      <c r="B12">
        <v>7</v>
      </c>
      <c r="C12" t="s">
        <v>8</v>
      </c>
      <c r="D12" s="2">
        <v>225</v>
      </c>
      <c r="E12" s="2">
        <v>614</v>
      </c>
      <c r="F12" s="160">
        <f t="shared" si="0"/>
        <v>0.39742535117792932</v>
      </c>
    </row>
    <row r="13" spans="2:6" x14ac:dyDescent="0.25">
      <c r="B13">
        <v>8</v>
      </c>
      <c r="C13" t="s">
        <v>9</v>
      </c>
      <c r="D13" s="2">
        <v>174</v>
      </c>
      <c r="E13" s="2">
        <v>376</v>
      </c>
      <c r="F13" s="160">
        <f t="shared" si="0"/>
        <v>0.29284422219611184</v>
      </c>
    </row>
    <row r="14" spans="2:6" x14ac:dyDescent="0.25">
      <c r="B14">
        <v>9</v>
      </c>
      <c r="C14" t="s">
        <v>10</v>
      </c>
      <c r="D14" s="2">
        <v>545</v>
      </c>
      <c r="E14" s="2">
        <v>314</v>
      </c>
      <c r="F14" s="160">
        <f t="shared" si="0"/>
        <v>-0.16789579775339758</v>
      </c>
    </row>
    <row r="15" spans="2:6" x14ac:dyDescent="0.25">
      <c r="B15">
        <v>10</v>
      </c>
      <c r="C15" t="s">
        <v>11</v>
      </c>
      <c r="D15" s="2">
        <v>39</v>
      </c>
      <c r="E15" s="2">
        <v>250</v>
      </c>
      <c r="F15" s="160">
        <f t="shared" si="0"/>
        <v>0.85762679659843588</v>
      </c>
    </row>
    <row r="16" spans="2:6" x14ac:dyDescent="0.25">
      <c r="B16">
        <v>11</v>
      </c>
      <c r="C16" t="s">
        <v>12</v>
      </c>
      <c r="D16" s="2">
        <v>40</v>
      </c>
      <c r="E16" s="2">
        <v>223</v>
      </c>
      <c r="F16" s="160">
        <f t="shared" si="0"/>
        <v>0.77316148987138367</v>
      </c>
    </row>
    <row r="17" spans="2:6" x14ac:dyDescent="0.25">
      <c r="B17">
        <v>12</v>
      </c>
      <c r="C17" t="s">
        <v>13</v>
      </c>
      <c r="D17" s="2">
        <v>2</v>
      </c>
      <c r="E17" s="2">
        <v>211</v>
      </c>
      <c r="F17" s="160">
        <f t="shared" si="0"/>
        <v>3.7251705284515992</v>
      </c>
    </row>
    <row r="18" spans="2:6" x14ac:dyDescent="0.25">
      <c r="B18">
        <v>13</v>
      </c>
      <c r="C18" t="s">
        <v>14</v>
      </c>
      <c r="D18" s="2">
        <v>76</v>
      </c>
      <c r="E18" s="2">
        <v>122</v>
      </c>
      <c r="F18" s="160">
        <f t="shared" si="0"/>
        <v>0.17088815555918324</v>
      </c>
    </row>
    <row r="19" spans="2:6" x14ac:dyDescent="0.25">
      <c r="B19">
        <v>14</v>
      </c>
      <c r="C19" t="s">
        <v>15</v>
      </c>
      <c r="D19" s="2">
        <v>36</v>
      </c>
      <c r="E19" s="2">
        <v>97</v>
      </c>
      <c r="F19" s="160">
        <f t="shared" si="0"/>
        <v>0.3915209348556028</v>
      </c>
    </row>
    <row r="20" spans="2:6" x14ac:dyDescent="0.25">
      <c r="B20">
        <v>15</v>
      </c>
      <c r="C20" t="s">
        <v>16</v>
      </c>
      <c r="D20" s="2">
        <v>5</v>
      </c>
      <c r="E20" s="2">
        <v>42</v>
      </c>
      <c r="F20" s="160">
        <f t="shared" si="0"/>
        <v>1.0327927136297066</v>
      </c>
    </row>
    <row r="21" spans="2:6" x14ac:dyDescent="0.25">
      <c r="B21">
        <v>16</v>
      </c>
      <c r="C21" t="s">
        <v>17</v>
      </c>
      <c r="D21" s="2">
        <v>4</v>
      </c>
      <c r="E21" s="2">
        <v>24</v>
      </c>
      <c r="F21" s="160">
        <f t="shared" si="0"/>
        <v>0.81712059283213967</v>
      </c>
    </row>
    <row r="23" spans="2:6" x14ac:dyDescent="0.25">
      <c r="C23" t="s">
        <v>99</v>
      </c>
      <c r="D23" s="4">
        <f>SUM(D6:D21)</f>
        <v>50617</v>
      </c>
      <c r="E23" s="4">
        <f>SUM(E6:E21)</f>
        <v>94992</v>
      </c>
      <c r="F23" s="160">
        <f t="shared" si="0"/>
        <v>0.23347459769346957</v>
      </c>
    </row>
    <row r="24" spans="2:6" x14ac:dyDescent="0.25">
      <c r="C24" t="s">
        <v>20</v>
      </c>
      <c r="D24" s="4">
        <f>SUM(D10:D21)</f>
        <v>4657</v>
      </c>
      <c r="E24" s="4">
        <f>SUM(E10:E21)</f>
        <v>5776</v>
      </c>
      <c r="F24" s="1">
        <f>((E24/D24)^(1/(1998-1995)))-1</f>
        <v>7.4418923541478721E-2</v>
      </c>
    </row>
    <row r="26" spans="2:6" x14ac:dyDescent="0.25">
      <c r="C26" t="s">
        <v>19</v>
      </c>
      <c r="E26" s="2">
        <v>15600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J25"/>
  <sheetViews>
    <sheetView workbookViewId="0">
      <selection activeCell="H7" sqref="H7"/>
    </sheetView>
  </sheetViews>
  <sheetFormatPr defaultRowHeight="15.75" x14ac:dyDescent="0.25"/>
  <cols>
    <col min="1" max="1" width="4" customWidth="1"/>
    <col min="2" max="2" width="31.625" bestFit="1" customWidth="1"/>
    <col min="3" max="5" width="10.125" bestFit="1" customWidth="1"/>
  </cols>
  <sheetData>
    <row r="2" spans="2:10" ht="28.5" x14ac:dyDescent="0.45">
      <c r="B2" s="197" t="s">
        <v>177</v>
      </c>
      <c r="C2" s="197"/>
      <c r="D2" s="197"/>
      <c r="E2" s="197"/>
      <c r="F2" s="197"/>
      <c r="G2" s="197"/>
      <c r="H2" s="197"/>
      <c r="I2" s="197"/>
      <c r="J2" s="197"/>
    </row>
    <row r="4" spans="2:10" x14ac:dyDescent="0.25">
      <c r="B4" t="s">
        <v>178</v>
      </c>
    </row>
    <row r="5" spans="2:10" x14ac:dyDescent="0.25">
      <c r="B5" t="s">
        <v>179</v>
      </c>
    </row>
    <row r="6" spans="2:10" x14ac:dyDescent="0.25">
      <c r="B6" t="s">
        <v>180</v>
      </c>
    </row>
    <row r="7" spans="2:10" ht="16.5" thickBot="1" x14ac:dyDescent="0.3"/>
    <row r="8" spans="2:10" x14ac:dyDescent="0.25">
      <c r="C8" s="131">
        <v>1996</v>
      </c>
      <c r="D8" s="133">
        <v>1997</v>
      </c>
      <c r="E8" s="132">
        <v>1998</v>
      </c>
    </row>
    <row r="9" spans="2:10" x14ac:dyDescent="0.25">
      <c r="B9" s="71" t="s">
        <v>187</v>
      </c>
      <c r="C9" s="83">
        <v>1911</v>
      </c>
      <c r="D9" s="83">
        <v>2226</v>
      </c>
      <c r="E9" s="83">
        <v>2701</v>
      </c>
    </row>
    <row r="10" spans="2:10" x14ac:dyDescent="0.25">
      <c r="B10" s="71" t="s">
        <v>188</v>
      </c>
      <c r="C10" s="83">
        <v>679</v>
      </c>
      <c r="D10" s="83">
        <v>712</v>
      </c>
      <c r="E10" s="83">
        <v>804</v>
      </c>
    </row>
    <row r="11" spans="2:10" x14ac:dyDescent="0.25">
      <c r="B11" s="71" t="s">
        <v>186</v>
      </c>
      <c r="C11" s="154">
        <f>C10/C9</f>
        <v>0.35531135531135533</v>
      </c>
      <c r="D11" s="154">
        <f t="shared" ref="D11:E11" si="0">D10/D9</f>
        <v>0.3198562443845463</v>
      </c>
      <c r="E11" s="154">
        <f t="shared" si="0"/>
        <v>0.29766753054424289</v>
      </c>
    </row>
    <row r="12" spans="2:10" ht="16.5" thickBot="1" x14ac:dyDescent="0.3"/>
    <row r="13" spans="2:10" x14ac:dyDescent="0.25">
      <c r="C13" s="131">
        <v>1996</v>
      </c>
      <c r="D13" s="133">
        <v>1997</v>
      </c>
      <c r="E13" s="132">
        <v>1998</v>
      </c>
    </row>
    <row r="14" spans="2:10" x14ac:dyDescent="0.25">
      <c r="B14" s="71" t="s">
        <v>116</v>
      </c>
      <c r="C14" s="83">
        <v>1873</v>
      </c>
      <c r="D14" s="83">
        <v>2235</v>
      </c>
      <c r="E14" s="83">
        <v>2761</v>
      </c>
    </row>
    <row r="15" spans="2:10" x14ac:dyDescent="0.25">
      <c r="B15" s="71" t="s">
        <v>185</v>
      </c>
      <c r="C15" s="83">
        <v>816</v>
      </c>
      <c r="D15" s="83">
        <v>1738</v>
      </c>
      <c r="E15" s="83">
        <v>2408</v>
      </c>
    </row>
    <row r="16" spans="2:10" x14ac:dyDescent="0.25">
      <c r="B16" s="71" t="s">
        <v>130</v>
      </c>
      <c r="C16" s="83">
        <v>602</v>
      </c>
      <c r="D16" s="83">
        <v>2244</v>
      </c>
      <c r="E16" s="83">
        <v>7338</v>
      </c>
    </row>
    <row r="17" spans="2:9" x14ac:dyDescent="0.25">
      <c r="B17" s="73" t="s">
        <v>184</v>
      </c>
      <c r="C17" s="83">
        <f>C15+C16</f>
        <v>1418</v>
      </c>
      <c r="D17" s="83">
        <f t="shared" ref="D17:E17" si="1">D15+D16</f>
        <v>3982</v>
      </c>
      <c r="E17" s="83">
        <f t="shared" si="1"/>
        <v>9746</v>
      </c>
      <c r="G17" s="1">
        <f>C14/C17</f>
        <v>1.3208744710860367</v>
      </c>
      <c r="H17" s="1">
        <f>D14/D17</f>
        <v>0.56127574083375187</v>
      </c>
      <c r="I17" s="1">
        <f>E14/E17</f>
        <v>0.28329571106094809</v>
      </c>
    </row>
    <row r="18" spans="2:9" x14ac:dyDescent="0.25">
      <c r="B18" s="152" t="s">
        <v>181</v>
      </c>
      <c r="C18" s="153">
        <f>C14*(1-C$11)/C17</f>
        <v>0.85155277256828732</v>
      </c>
      <c r="D18" s="161">
        <f t="shared" ref="D18:E18" si="2">D14*(1-D$11)/D17</f>
        <v>0.38174819030651408</v>
      </c>
      <c r="E18" s="153">
        <f t="shared" si="2"/>
        <v>0.19896777633566032</v>
      </c>
      <c r="G18" s="1">
        <f>C14*(1-0.33333)/C17</f>
        <v>0.88058738363892808</v>
      </c>
      <c r="H18" s="1">
        <f t="shared" ref="H18:I18" si="3">D14*(1-0.33333)/D17</f>
        <v>0.37418569814163738</v>
      </c>
      <c r="I18" s="1">
        <f t="shared" si="3"/>
        <v>0.18886475169300226</v>
      </c>
    </row>
    <row r="19" spans="2:9" x14ac:dyDescent="0.25">
      <c r="B19" s="71" t="s">
        <v>182</v>
      </c>
      <c r="C19" s="83">
        <v>1232</v>
      </c>
      <c r="D19" s="83">
        <v>1440</v>
      </c>
      <c r="E19" s="83">
        <v>1897</v>
      </c>
    </row>
    <row r="20" spans="2:9" x14ac:dyDescent="0.25">
      <c r="B20" s="71" t="s">
        <v>83</v>
      </c>
      <c r="C20" s="83">
        <v>2513</v>
      </c>
      <c r="D20" s="83">
        <v>5488</v>
      </c>
      <c r="E20" s="83">
        <v>6939</v>
      </c>
    </row>
    <row r="21" spans="2:9" x14ac:dyDescent="0.25">
      <c r="B21" s="152" t="s">
        <v>183</v>
      </c>
      <c r="C21" s="153">
        <f>C19/C20</f>
        <v>0.49025069637883006</v>
      </c>
      <c r="D21" s="153">
        <f>D19/D20</f>
        <v>0.26239067055393583</v>
      </c>
      <c r="E21" s="153">
        <f t="shared" ref="E21" si="4">E19/E20</f>
        <v>0.27338233174809051</v>
      </c>
    </row>
    <row r="24" spans="2:9" x14ac:dyDescent="0.25">
      <c r="B24" t="s">
        <v>189</v>
      </c>
    </row>
    <row r="25" spans="2:9" x14ac:dyDescent="0.25">
      <c r="B25" t="s">
        <v>194</v>
      </c>
    </row>
  </sheetData>
  <mergeCells count="1">
    <mergeCell ref="B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
  <sheetViews>
    <sheetView workbookViewId="0">
      <selection activeCell="E32" sqref="E32"/>
    </sheetView>
  </sheetViews>
  <sheetFormatPr defaultRowHeight="15.75" x14ac:dyDescent="0.25"/>
  <cols>
    <col min="1" max="1" width="3"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2:K28"/>
  <sheetViews>
    <sheetView zoomScale="85" zoomScaleNormal="85" workbookViewId="0">
      <selection activeCell="C19" sqref="C19"/>
    </sheetView>
  </sheetViews>
  <sheetFormatPr defaultColWidth="11" defaultRowHeight="15.75" x14ac:dyDescent="0.25"/>
  <cols>
    <col min="1" max="1" width="5.625" customWidth="1"/>
    <col min="2" max="2" width="32.625" customWidth="1"/>
    <col min="3" max="8" width="10.875" style="5"/>
    <col min="9" max="9" width="3.75" customWidth="1"/>
  </cols>
  <sheetData>
    <row r="2" spans="2:11" ht="16.5" thickBot="1" x14ac:dyDescent="0.3"/>
    <row r="3" spans="2:11" ht="24" thickBot="1" x14ac:dyDescent="0.3">
      <c r="B3" s="163" t="s">
        <v>135</v>
      </c>
      <c r="C3" s="164"/>
      <c r="D3" s="164"/>
      <c r="E3" s="164"/>
      <c r="F3" s="164"/>
      <c r="G3" s="164"/>
      <c r="H3" s="165"/>
    </row>
    <row r="4" spans="2:11" ht="16.5" thickBot="1" x14ac:dyDescent="0.3"/>
    <row r="5" spans="2:11" x14ac:dyDescent="0.25">
      <c r="B5" s="166" t="s">
        <v>24</v>
      </c>
      <c r="C5" s="166">
        <v>1996</v>
      </c>
      <c r="D5" s="168"/>
      <c r="E5" s="166">
        <v>1997</v>
      </c>
      <c r="F5" s="168"/>
      <c r="G5" s="169">
        <v>1998</v>
      </c>
      <c r="H5" s="168"/>
      <c r="J5" s="162" t="s">
        <v>105</v>
      </c>
    </row>
    <row r="6" spans="2:11" ht="16.5" thickBot="1" x14ac:dyDescent="0.3">
      <c r="B6" s="167"/>
      <c r="C6" s="21" t="s">
        <v>26</v>
      </c>
      <c r="D6" s="20" t="s">
        <v>25</v>
      </c>
      <c r="E6" s="21" t="s">
        <v>26</v>
      </c>
      <c r="F6" s="20" t="s">
        <v>25</v>
      </c>
      <c r="G6" s="19" t="s">
        <v>26</v>
      </c>
      <c r="H6" s="20" t="s">
        <v>25</v>
      </c>
      <c r="J6" s="162"/>
    </row>
    <row r="7" spans="2:11" ht="16.5" thickBot="1" x14ac:dyDescent="0.3">
      <c r="B7" s="7" t="s">
        <v>22</v>
      </c>
      <c r="C7" s="22">
        <v>7545</v>
      </c>
      <c r="D7" s="9">
        <v>1</v>
      </c>
      <c r="E7" s="22">
        <v>9995</v>
      </c>
      <c r="F7" s="9">
        <v>1</v>
      </c>
      <c r="G7" s="8">
        <v>17738</v>
      </c>
      <c r="H7" s="9">
        <v>1</v>
      </c>
      <c r="J7" s="1">
        <f>((G7/C7)^(1/2))-1</f>
        <v>0.5332843510774874</v>
      </c>
    </row>
    <row r="8" spans="2:11" x14ac:dyDescent="0.25">
      <c r="B8" s="10" t="s">
        <v>27</v>
      </c>
      <c r="C8" s="23">
        <v>3247</v>
      </c>
      <c r="D8" s="12">
        <f>C8/C$7</f>
        <v>0.4303512259774685</v>
      </c>
      <c r="E8" s="23">
        <v>4480</v>
      </c>
      <c r="F8" s="12">
        <f>E8/E$7</f>
        <v>0.44822411205602802</v>
      </c>
      <c r="G8" s="11">
        <v>9637</v>
      </c>
      <c r="H8" s="12">
        <f>G8/G$7</f>
        <v>0.54329687676175442</v>
      </c>
      <c r="J8" s="1">
        <f t="shared" ref="J8:J19" si="0">((G8/C8)^(1/2))-1</f>
        <v>0.72277985658266775</v>
      </c>
      <c r="K8" t="s">
        <v>107</v>
      </c>
    </row>
    <row r="9" spans="2:11" x14ac:dyDescent="0.25">
      <c r="B9" s="13" t="s">
        <v>28</v>
      </c>
      <c r="C9" s="24">
        <v>4298</v>
      </c>
      <c r="D9" s="15">
        <f t="shared" ref="D9:D19" si="1">C9/C$7</f>
        <v>0.56964877402253145</v>
      </c>
      <c r="E9" s="24">
        <v>5515</v>
      </c>
      <c r="F9" s="15">
        <f t="shared" ref="F9:F19" si="2">E9/E$7</f>
        <v>0.55177588794397203</v>
      </c>
      <c r="G9" s="14">
        <v>8101</v>
      </c>
      <c r="H9" s="15">
        <f t="shared" ref="H9:H19" si="3">G9/G$7</f>
        <v>0.45670312323824558</v>
      </c>
      <c r="J9" s="1">
        <f t="shared" si="0"/>
        <v>0.3728911659559162</v>
      </c>
    </row>
    <row r="10" spans="2:11" x14ac:dyDescent="0.25">
      <c r="B10" s="13" t="s">
        <v>29</v>
      </c>
      <c r="C10" s="24">
        <v>798</v>
      </c>
      <c r="D10" s="15">
        <f t="shared" si="1"/>
        <v>0.10576540755467197</v>
      </c>
      <c r="E10" s="24">
        <v>961</v>
      </c>
      <c r="F10" s="15">
        <f t="shared" si="2"/>
        <v>9.6148074037018513E-2</v>
      </c>
      <c r="G10" s="14">
        <v>2427</v>
      </c>
      <c r="H10" s="15">
        <f t="shared" si="3"/>
        <v>0.136824895704138</v>
      </c>
      <c r="J10" s="1">
        <f t="shared" si="0"/>
        <v>0.74394764355431464</v>
      </c>
      <c r="K10" t="s">
        <v>107</v>
      </c>
    </row>
    <row r="11" spans="2:11" x14ac:dyDescent="0.25">
      <c r="B11" s="13" t="s">
        <v>30</v>
      </c>
      <c r="C11" s="24">
        <v>1627</v>
      </c>
      <c r="D11" s="15">
        <f t="shared" si="1"/>
        <v>0.21563949635520213</v>
      </c>
      <c r="E11" s="24">
        <v>2319</v>
      </c>
      <c r="F11" s="15">
        <f t="shared" si="2"/>
        <v>0.23201600800400199</v>
      </c>
      <c r="G11" s="14">
        <v>2913</v>
      </c>
      <c r="H11" s="15">
        <f t="shared" si="3"/>
        <v>0.16422370052993573</v>
      </c>
      <c r="J11" s="1">
        <f t="shared" si="0"/>
        <v>0.33806270438289987</v>
      </c>
    </row>
    <row r="12" spans="2:11" ht="16.5" thickBot="1" x14ac:dyDescent="0.3">
      <c r="B12" s="16" t="s">
        <v>31</v>
      </c>
      <c r="C12" s="25">
        <v>1873</v>
      </c>
      <c r="D12" s="18">
        <f t="shared" si="1"/>
        <v>0.24824387011265739</v>
      </c>
      <c r="E12" s="25">
        <v>2235</v>
      </c>
      <c r="F12" s="18">
        <f t="shared" si="2"/>
        <v>0.22361180590295149</v>
      </c>
      <c r="G12" s="17">
        <v>2761</v>
      </c>
      <c r="H12" s="18">
        <f t="shared" si="3"/>
        <v>0.15565452700417184</v>
      </c>
      <c r="J12" s="1">
        <f t="shared" si="0"/>
        <v>0.21412755209668055</v>
      </c>
      <c r="K12" t="s">
        <v>106</v>
      </c>
    </row>
    <row r="13" spans="2:11" x14ac:dyDescent="0.25">
      <c r="B13" s="10" t="s">
        <v>32</v>
      </c>
      <c r="C13" s="23">
        <v>1</v>
      </c>
      <c r="D13" s="12">
        <f t="shared" si="1"/>
        <v>1.3253810470510271E-4</v>
      </c>
      <c r="E13" s="23">
        <v>33</v>
      </c>
      <c r="F13" s="12">
        <f t="shared" si="2"/>
        <v>3.3016508254127062E-3</v>
      </c>
      <c r="G13" s="11">
        <v>87</v>
      </c>
      <c r="H13" s="12">
        <f t="shared" si="3"/>
        <v>4.9047243206674935E-3</v>
      </c>
      <c r="J13" s="1"/>
    </row>
    <row r="14" spans="2:11" x14ac:dyDescent="0.25">
      <c r="B14" s="13" t="s">
        <v>33</v>
      </c>
      <c r="C14" s="24">
        <v>39</v>
      </c>
      <c r="D14" s="15">
        <f t="shared" si="1"/>
        <v>5.1689860834990059E-3</v>
      </c>
      <c r="E14" s="24">
        <v>24</v>
      </c>
      <c r="F14" s="15">
        <f t="shared" si="2"/>
        <v>2.4012006003001499E-3</v>
      </c>
      <c r="G14" s="14">
        <v>27</v>
      </c>
      <c r="H14" s="15">
        <f t="shared" si="3"/>
        <v>1.5221558236554291E-3</v>
      </c>
      <c r="J14" s="1"/>
    </row>
    <row r="15" spans="2:11" ht="16.5" thickBot="1" x14ac:dyDescent="0.3">
      <c r="B15" s="16" t="s">
        <v>34</v>
      </c>
      <c r="C15" s="25">
        <v>1911</v>
      </c>
      <c r="D15" s="18">
        <f t="shared" si="1"/>
        <v>0.2532803180914513</v>
      </c>
      <c r="E15" s="25">
        <v>2226</v>
      </c>
      <c r="F15" s="18">
        <f t="shared" si="2"/>
        <v>0.22271135567783892</v>
      </c>
      <c r="G15" s="17">
        <v>2701</v>
      </c>
      <c r="H15" s="18">
        <f t="shared" si="3"/>
        <v>0.15227195850715977</v>
      </c>
      <c r="J15" s="1">
        <f t="shared" si="0"/>
        <v>0.18886337637335004</v>
      </c>
    </row>
    <row r="16" spans="2:11" x14ac:dyDescent="0.25">
      <c r="B16" s="10" t="s">
        <v>35</v>
      </c>
      <c r="C16" s="23">
        <v>0</v>
      </c>
      <c r="D16" s="12">
        <f t="shared" si="1"/>
        <v>0</v>
      </c>
      <c r="E16" s="23">
        <v>187</v>
      </c>
      <c r="F16" s="12">
        <f t="shared" si="2"/>
        <v>1.8709354677338669E-2</v>
      </c>
      <c r="G16" s="11">
        <v>0</v>
      </c>
      <c r="H16" s="12">
        <f t="shared" si="3"/>
        <v>0</v>
      </c>
      <c r="J16" s="1"/>
    </row>
    <row r="17" spans="2:10" x14ac:dyDescent="0.25">
      <c r="B17" s="13" t="s">
        <v>36</v>
      </c>
      <c r="C17" s="24">
        <v>0</v>
      </c>
      <c r="D17" s="15">
        <f t="shared" si="1"/>
        <v>0</v>
      </c>
      <c r="E17" s="24">
        <v>113</v>
      </c>
      <c r="F17" s="15">
        <f t="shared" si="2"/>
        <v>1.1305652826413206E-2</v>
      </c>
      <c r="G17" s="14">
        <v>0</v>
      </c>
      <c r="H17" s="15">
        <f t="shared" si="3"/>
        <v>0</v>
      </c>
      <c r="J17" s="1"/>
    </row>
    <row r="18" spans="2:10" x14ac:dyDescent="0.25">
      <c r="B18" s="13" t="s">
        <v>37</v>
      </c>
      <c r="C18" s="24">
        <v>679</v>
      </c>
      <c r="D18" s="15">
        <f t="shared" si="1"/>
        <v>8.9993373094764739E-2</v>
      </c>
      <c r="E18" s="24">
        <v>712</v>
      </c>
      <c r="F18" s="15">
        <f t="shared" si="2"/>
        <v>7.1235617808904458E-2</v>
      </c>
      <c r="G18" s="14">
        <v>804</v>
      </c>
      <c r="H18" s="15">
        <f t="shared" si="3"/>
        <v>4.5326417859961665E-2</v>
      </c>
      <c r="J18" s="1">
        <f t="shared" si="0"/>
        <v>8.8160951449373082E-2</v>
      </c>
    </row>
    <row r="19" spans="2:10" ht="16.5" thickBot="1" x14ac:dyDescent="0.3">
      <c r="B19" s="16" t="s">
        <v>38</v>
      </c>
      <c r="C19" s="25">
        <v>1232</v>
      </c>
      <c r="D19" s="18">
        <f t="shared" si="1"/>
        <v>0.16328694499668656</v>
      </c>
      <c r="E19" s="25">
        <v>1440</v>
      </c>
      <c r="F19" s="18">
        <f t="shared" si="2"/>
        <v>0.144072036018009</v>
      </c>
      <c r="G19" s="17">
        <v>1897</v>
      </c>
      <c r="H19" s="18">
        <f t="shared" si="3"/>
        <v>0.10694554064719811</v>
      </c>
      <c r="J19" s="1">
        <f t="shared" si="0"/>
        <v>0.24087579042897245</v>
      </c>
    </row>
    <row r="20" spans="2:10" x14ac:dyDescent="0.25">
      <c r="B20" s="42" t="s">
        <v>58</v>
      </c>
      <c r="C20" s="24">
        <v>440</v>
      </c>
      <c r="E20" s="6">
        <v>496</v>
      </c>
      <c r="G20" s="6">
        <v>496</v>
      </c>
    </row>
    <row r="21" spans="2:10" x14ac:dyDescent="0.25">
      <c r="B21" s="42" t="s">
        <v>59</v>
      </c>
      <c r="C21" s="43">
        <v>792</v>
      </c>
      <c r="E21" s="6">
        <v>944</v>
      </c>
      <c r="G21" s="6">
        <v>1401</v>
      </c>
    </row>
    <row r="23" spans="2:10" x14ac:dyDescent="0.25">
      <c r="B23" t="s">
        <v>60</v>
      </c>
    </row>
    <row r="24" spans="2:10" x14ac:dyDescent="0.25">
      <c r="B24" t="s">
        <v>61</v>
      </c>
      <c r="E24" s="5">
        <v>113</v>
      </c>
    </row>
    <row r="25" spans="2:10" x14ac:dyDescent="0.25">
      <c r="B25" t="s">
        <v>62</v>
      </c>
      <c r="E25" s="5">
        <v>187</v>
      </c>
    </row>
    <row r="27" spans="2:10" x14ac:dyDescent="0.25">
      <c r="B27" t="s">
        <v>63</v>
      </c>
      <c r="C27" s="5">
        <v>400</v>
      </c>
      <c r="E27" s="5">
        <v>440</v>
      </c>
      <c r="G27" s="5">
        <v>496</v>
      </c>
    </row>
    <row r="28" spans="2:10" x14ac:dyDescent="0.25">
      <c r="B28" t="s">
        <v>64</v>
      </c>
      <c r="C28" s="5">
        <v>207</v>
      </c>
      <c r="E28" s="5">
        <v>519</v>
      </c>
      <c r="G28" s="5">
        <v>653</v>
      </c>
    </row>
  </sheetData>
  <mergeCells count="6">
    <mergeCell ref="J5:J6"/>
    <mergeCell ref="B3:H3"/>
    <mergeCell ref="B5:B6"/>
    <mergeCell ref="C5:D5"/>
    <mergeCell ref="E5:F5"/>
    <mergeCell ref="G5:H5"/>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C3:F32"/>
  <sheetViews>
    <sheetView topLeftCell="A16" workbookViewId="0">
      <selection activeCell="D25" sqref="D25:F25"/>
    </sheetView>
  </sheetViews>
  <sheetFormatPr defaultColWidth="11" defaultRowHeight="15.75" x14ac:dyDescent="0.25"/>
  <cols>
    <col min="1" max="2" width="3.5" customWidth="1"/>
    <col min="3" max="3" width="42" customWidth="1"/>
    <col min="4" max="6" width="10.875" style="5"/>
  </cols>
  <sheetData>
    <row r="3" spans="3:6" ht="16.5" thickBot="1" x14ac:dyDescent="0.3"/>
    <row r="4" spans="3:6" ht="27" thickBot="1" x14ac:dyDescent="0.3">
      <c r="C4" s="170" t="s">
        <v>66</v>
      </c>
      <c r="D4" s="171"/>
      <c r="E4" s="171"/>
      <c r="F4" s="172"/>
    </row>
    <row r="5" spans="3:6" ht="16.5" thickBot="1" x14ac:dyDescent="0.3">
      <c r="C5" s="31" t="s">
        <v>65</v>
      </c>
      <c r="D5" s="46">
        <v>1996</v>
      </c>
      <c r="E5" s="46">
        <v>1997</v>
      </c>
      <c r="F5" s="47">
        <v>1998</v>
      </c>
    </row>
    <row r="6" spans="3:6" x14ac:dyDescent="0.25">
      <c r="C6" s="27" t="s">
        <v>67</v>
      </c>
      <c r="D6" s="11">
        <v>0</v>
      </c>
      <c r="E6" s="11">
        <v>0</v>
      </c>
      <c r="F6" s="45">
        <v>193</v>
      </c>
    </row>
    <row r="7" spans="3:6" ht="16.5" thickBot="1" x14ac:dyDescent="0.3">
      <c r="C7" s="29" t="s">
        <v>68</v>
      </c>
      <c r="D7" s="14">
        <v>816</v>
      </c>
      <c r="E7" s="14">
        <v>1738</v>
      </c>
      <c r="F7" s="30">
        <v>2215</v>
      </c>
    </row>
    <row r="8" spans="3:6" ht="16.5" thickBot="1" x14ac:dyDescent="0.3">
      <c r="C8" s="7" t="s">
        <v>69</v>
      </c>
      <c r="D8" s="8">
        <f>D6+D7</f>
        <v>816</v>
      </c>
      <c r="E8" s="8">
        <f t="shared" ref="E8:F8" si="0">E6+E7</f>
        <v>1738</v>
      </c>
      <c r="F8" s="44">
        <f t="shared" si="0"/>
        <v>2408</v>
      </c>
    </row>
    <row r="9" spans="3:6" x14ac:dyDescent="0.25">
      <c r="C9" s="29" t="s">
        <v>70</v>
      </c>
      <c r="D9" s="14">
        <v>539</v>
      </c>
      <c r="E9" s="14">
        <v>2009</v>
      </c>
      <c r="F9" s="30">
        <v>4283</v>
      </c>
    </row>
    <row r="10" spans="3:6" ht="16.5" thickBot="1" x14ac:dyDescent="0.3">
      <c r="C10" s="29" t="s">
        <v>71</v>
      </c>
      <c r="D10" s="14">
        <v>430</v>
      </c>
      <c r="E10" s="14">
        <v>603</v>
      </c>
      <c r="F10" s="30">
        <v>852</v>
      </c>
    </row>
    <row r="11" spans="3:6" ht="16.5" thickBot="1" x14ac:dyDescent="0.3">
      <c r="C11" s="7" t="s">
        <v>72</v>
      </c>
      <c r="D11" s="8">
        <f>D9+D10</f>
        <v>969</v>
      </c>
      <c r="E11" s="8">
        <f t="shared" ref="E11:F11" si="1">E9+E10</f>
        <v>2612</v>
      </c>
      <c r="F11" s="44">
        <f t="shared" si="1"/>
        <v>5135</v>
      </c>
    </row>
    <row r="12" spans="3:6" x14ac:dyDescent="0.25">
      <c r="C12" s="29" t="s">
        <v>73</v>
      </c>
      <c r="D12" s="14">
        <v>919</v>
      </c>
      <c r="E12" s="14">
        <v>1306</v>
      </c>
      <c r="F12" s="30">
        <v>5567</v>
      </c>
    </row>
    <row r="13" spans="3:6" x14ac:dyDescent="0.25">
      <c r="C13" s="29" t="s">
        <v>74</v>
      </c>
      <c r="D13" s="14">
        <v>50</v>
      </c>
      <c r="E13" s="14">
        <v>351</v>
      </c>
      <c r="F13" s="30">
        <v>567</v>
      </c>
    </row>
    <row r="14" spans="3:6" x14ac:dyDescent="0.25">
      <c r="C14" s="29" t="s">
        <v>75</v>
      </c>
      <c r="D14" s="14">
        <v>1000</v>
      </c>
      <c r="E14" s="14">
        <v>2000</v>
      </c>
      <c r="F14" s="30">
        <v>0</v>
      </c>
    </row>
    <row r="15" spans="3:6" ht="16.5" thickBot="1" x14ac:dyDescent="0.3">
      <c r="C15" s="29" t="s">
        <v>76</v>
      </c>
      <c r="D15" s="14">
        <v>95</v>
      </c>
      <c r="E15" s="14">
        <v>50</v>
      </c>
      <c r="F15" s="30">
        <v>5</v>
      </c>
    </row>
    <row r="16" spans="3:6" ht="16.5" thickBot="1" x14ac:dyDescent="0.3">
      <c r="C16" s="7" t="s">
        <v>77</v>
      </c>
      <c r="D16" s="8">
        <f>D8+D11+SUM(D12:D15)</f>
        <v>3849</v>
      </c>
      <c r="E16" s="8">
        <f t="shared" ref="E16:F16" si="2">E8+E11+SUM(E12:E15)</f>
        <v>8057</v>
      </c>
      <c r="F16" s="44">
        <f t="shared" si="2"/>
        <v>13682</v>
      </c>
    </row>
    <row r="18" spans="3:6" ht="16.5" thickBot="1" x14ac:dyDescent="0.3"/>
    <row r="19" spans="3:6" ht="27" thickBot="1" x14ac:dyDescent="0.3">
      <c r="C19" s="170" t="s">
        <v>78</v>
      </c>
      <c r="D19" s="171"/>
      <c r="E19" s="171"/>
      <c r="F19" s="172"/>
    </row>
    <row r="20" spans="3:6" ht="16.5" thickBot="1" x14ac:dyDescent="0.3">
      <c r="C20" s="31" t="s">
        <v>65</v>
      </c>
      <c r="D20" s="46">
        <v>1996</v>
      </c>
      <c r="E20" s="46">
        <v>1997</v>
      </c>
      <c r="F20" s="47">
        <v>1998</v>
      </c>
    </row>
    <row r="21" spans="3:6" x14ac:dyDescent="0.25">
      <c r="C21" s="27" t="s">
        <v>79</v>
      </c>
      <c r="D21" s="11">
        <v>1000</v>
      </c>
      <c r="E21" s="11">
        <v>1200</v>
      </c>
      <c r="F21" s="45">
        <v>1202</v>
      </c>
    </row>
    <row r="22" spans="3:6" x14ac:dyDescent="0.25">
      <c r="C22" s="29" t="s">
        <v>80</v>
      </c>
      <c r="D22" s="14">
        <v>500</v>
      </c>
      <c r="E22" s="14">
        <v>2275</v>
      </c>
      <c r="F22" s="30">
        <v>2322</v>
      </c>
    </row>
    <row r="23" spans="3:6" x14ac:dyDescent="0.25">
      <c r="C23" s="29" t="s">
        <v>81</v>
      </c>
      <c r="D23" s="14">
        <v>181</v>
      </c>
      <c r="E23" s="14">
        <v>1573</v>
      </c>
      <c r="F23" s="30">
        <v>2815</v>
      </c>
    </row>
    <row r="24" spans="3:6" ht="16.5" thickBot="1" x14ac:dyDescent="0.3">
      <c r="C24" s="29" t="s">
        <v>82</v>
      </c>
      <c r="D24" s="14">
        <v>832</v>
      </c>
      <c r="E24" s="14">
        <v>440</v>
      </c>
      <c r="F24" s="30">
        <v>600</v>
      </c>
    </row>
    <row r="25" spans="3:6" ht="16.5" thickBot="1" x14ac:dyDescent="0.3">
      <c r="C25" s="7" t="s">
        <v>83</v>
      </c>
      <c r="D25" s="8">
        <f>SUM(D21:D24)</f>
        <v>2513</v>
      </c>
      <c r="E25" s="8">
        <f t="shared" ref="E25:F25" si="3">SUM(E21:E24)</f>
        <v>5488</v>
      </c>
      <c r="F25" s="44">
        <f t="shared" si="3"/>
        <v>6939</v>
      </c>
    </row>
    <row r="26" spans="3:6" x14ac:dyDescent="0.25">
      <c r="C26" s="42" t="s">
        <v>84</v>
      </c>
      <c r="D26" s="14">
        <v>557</v>
      </c>
      <c r="E26" s="14">
        <v>603</v>
      </c>
      <c r="F26" s="30">
        <v>2327</v>
      </c>
    </row>
    <row r="27" spans="3:6" x14ac:dyDescent="0.25">
      <c r="C27" s="42" t="s">
        <v>85</v>
      </c>
      <c r="D27" s="14">
        <v>779</v>
      </c>
      <c r="E27" s="14">
        <v>1422</v>
      </c>
      <c r="F27" s="30">
        <v>1604</v>
      </c>
    </row>
    <row r="28" spans="3:6" x14ac:dyDescent="0.25">
      <c r="C28" s="42" t="s">
        <v>86</v>
      </c>
      <c r="D28" s="14">
        <v>0</v>
      </c>
      <c r="E28" s="14">
        <v>44</v>
      </c>
      <c r="F28" s="30">
        <v>2247</v>
      </c>
    </row>
    <row r="29" spans="3:6" x14ac:dyDescent="0.25">
      <c r="C29" s="42" t="s">
        <v>87</v>
      </c>
      <c r="D29" s="14">
        <v>0</v>
      </c>
      <c r="E29" s="14">
        <v>500</v>
      </c>
      <c r="F29" s="30">
        <v>500</v>
      </c>
    </row>
    <row r="30" spans="3:6" ht="16.5" thickBot="1" x14ac:dyDescent="0.3">
      <c r="C30" s="42" t="s">
        <v>88</v>
      </c>
      <c r="D30" s="14">
        <v>0</v>
      </c>
      <c r="E30" s="14">
        <v>0</v>
      </c>
      <c r="F30" s="30">
        <v>65</v>
      </c>
    </row>
    <row r="31" spans="3:6" ht="16.5" thickBot="1" x14ac:dyDescent="0.3">
      <c r="C31" s="48" t="s">
        <v>89</v>
      </c>
      <c r="D31" s="8">
        <f>SUM(D26:D30)</f>
        <v>1336</v>
      </c>
      <c r="E31" s="8">
        <f t="shared" ref="E31:F31" si="4">SUM(E26:E30)</f>
        <v>2569</v>
      </c>
      <c r="F31" s="44">
        <f t="shared" si="4"/>
        <v>6743</v>
      </c>
    </row>
    <row r="32" spans="3:6" ht="16.5" thickBot="1" x14ac:dyDescent="0.3">
      <c r="C32" s="48" t="s">
        <v>90</v>
      </c>
      <c r="D32" s="8">
        <f>D25+D31</f>
        <v>3849</v>
      </c>
      <c r="E32" s="8">
        <f t="shared" ref="E32:F32" si="5">E25+E31</f>
        <v>8057</v>
      </c>
      <c r="F32" s="44">
        <f t="shared" si="5"/>
        <v>13682</v>
      </c>
    </row>
  </sheetData>
  <mergeCells count="2">
    <mergeCell ref="C4:F4"/>
    <mergeCell ref="C19:F19"/>
  </mergeCells>
  <pageMargins left="0.7" right="0.7" top="0.75" bottom="0.75" header="0.3" footer="0.3"/>
  <ignoredErrors>
    <ignoredError sqref="D25:F2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C2:F23"/>
  <sheetViews>
    <sheetView workbookViewId="0">
      <selection activeCell="D13" sqref="D13"/>
    </sheetView>
  </sheetViews>
  <sheetFormatPr defaultColWidth="11" defaultRowHeight="15.75" outlineLevelRow="1" x14ac:dyDescent="0.25"/>
  <cols>
    <col min="1" max="2" width="4" customWidth="1"/>
    <col min="3" max="3" width="66.625" bestFit="1" customWidth="1"/>
    <col min="4" max="6" width="7.875" style="3" bestFit="1" customWidth="1"/>
  </cols>
  <sheetData>
    <row r="2" spans="3:6" ht="16.5" thickBot="1" x14ac:dyDescent="0.3"/>
    <row r="3" spans="3:6" ht="24" thickBot="1" x14ac:dyDescent="0.4">
      <c r="C3" s="173" t="s">
        <v>39</v>
      </c>
      <c r="D3" s="174"/>
      <c r="E3" s="174"/>
      <c r="F3" s="175"/>
    </row>
    <row r="4" spans="3:6" ht="16.5" thickBot="1" x14ac:dyDescent="0.3"/>
    <row r="5" spans="3:6" ht="16.5" thickBot="1" x14ac:dyDescent="0.3">
      <c r="C5" s="31" t="s">
        <v>57</v>
      </c>
      <c r="D5" s="32">
        <v>1996</v>
      </c>
      <c r="E5" s="32">
        <v>1997</v>
      </c>
      <c r="F5" s="33">
        <v>1998</v>
      </c>
    </row>
    <row r="6" spans="3:6" x14ac:dyDescent="0.25">
      <c r="C6" s="29" t="s">
        <v>40</v>
      </c>
      <c r="D6" s="14">
        <v>1232</v>
      </c>
      <c r="E6" s="14">
        <v>1440</v>
      </c>
      <c r="F6" s="30">
        <v>1897</v>
      </c>
    </row>
    <row r="7" spans="3:6" x14ac:dyDescent="0.25">
      <c r="C7" s="13" t="s">
        <v>41</v>
      </c>
      <c r="D7" s="34">
        <v>207</v>
      </c>
      <c r="E7" s="34">
        <v>519</v>
      </c>
      <c r="F7" s="35">
        <v>653</v>
      </c>
    </row>
    <row r="8" spans="3:6" x14ac:dyDescent="0.25">
      <c r="C8" s="13" t="s">
        <v>42</v>
      </c>
      <c r="D8" s="34"/>
      <c r="E8" s="34">
        <v>74</v>
      </c>
      <c r="F8" s="35"/>
    </row>
    <row r="9" spans="3:6" x14ac:dyDescent="0.25">
      <c r="C9" s="13" t="s">
        <v>44</v>
      </c>
      <c r="D9" s="34">
        <v>1439</v>
      </c>
      <c r="E9" s="34">
        <v>2033</v>
      </c>
      <c r="F9" s="35">
        <v>2550</v>
      </c>
    </row>
    <row r="10" spans="3:6" hidden="1" outlineLevel="1" x14ac:dyDescent="0.25">
      <c r="C10" s="29" t="s">
        <v>43</v>
      </c>
      <c r="D10" s="34">
        <v>672</v>
      </c>
      <c r="E10" s="34">
        <v>1643</v>
      </c>
      <c r="F10" s="35">
        <v>2523</v>
      </c>
    </row>
    <row r="11" spans="3:6" hidden="1" outlineLevel="1" x14ac:dyDescent="0.25">
      <c r="C11" s="13" t="s">
        <v>45</v>
      </c>
      <c r="D11" s="34">
        <v>19</v>
      </c>
      <c r="E11" s="34">
        <v>688</v>
      </c>
      <c r="F11" s="35">
        <v>4477</v>
      </c>
    </row>
    <row r="12" spans="3:6" hidden="1" outlineLevel="1" x14ac:dyDescent="0.25">
      <c r="C12" s="13" t="s">
        <v>46</v>
      </c>
      <c r="D12" s="34">
        <v>679</v>
      </c>
      <c r="E12" s="34">
        <v>689</v>
      </c>
      <c r="F12" s="35">
        <v>1906</v>
      </c>
    </row>
    <row r="13" spans="3:6" ht="16.5" collapsed="1" thickBot="1" x14ac:dyDescent="0.3">
      <c r="C13" s="13" t="s">
        <v>47</v>
      </c>
      <c r="D13" s="34">
        <v>12</v>
      </c>
      <c r="E13" s="34">
        <v>1642</v>
      </c>
      <c r="F13" s="35">
        <v>5094</v>
      </c>
    </row>
    <row r="14" spans="3:6" ht="16.5" thickBot="1" x14ac:dyDescent="0.3">
      <c r="C14" s="7" t="s">
        <v>48</v>
      </c>
      <c r="D14" s="36">
        <f>D9-D13</f>
        <v>1427</v>
      </c>
      <c r="E14" s="36">
        <f t="shared" ref="E14:F14" si="0">E9-E13</f>
        <v>391</v>
      </c>
      <c r="F14" s="37">
        <f t="shared" si="0"/>
        <v>-2544</v>
      </c>
    </row>
    <row r="15" spans="3:6" hidden="1" outlineLevel="1" x14ac:dyDescent="0.25">
      <c r="C15" s="29" t="s">
        <v>49</v>
      </c>
      <c r="D15" s="34"/>
      <c r="E15" s="34">
        <v>113</v>
      </c>
      <c r="F15" s="35"/>
    </row>
    <row r="16" spans="3:6" ht="16.5" hidden="1" outlineLevel="1" thickBot="1" x14ac:dyDescent="0.3">
      <c r="C16" s="13" t="s">
        <v>50</v>
      </c>
      <c r="D16" s="34">
        <v>397</v>
      </c>
      <c r="E16" s="34">
        <v>1628</v>
      </c>
      <c r="F16" s="35">
        <v>1323</v>
      </c>
    </row>
    <row r="17" spans="3:6" ht="16.5" collapsed="1" thickBot="1" x14ac:dyDescent="0.3">
      <c r="C17" s="26" t="s">
        <v>51</v>
      </c>
      <c r="D17" s="36">
        <f>D15-D16</f>
        <v>-397</v>
      </c>
      <c r="E17" s="36">
        <f>E15-E16</f>
        <v>-1515</v>
      </c>
      <c r="F17" s="37">
        <f>F15-F16</f>
        <v>-1323</v>
      </c>
    </row>
    <row r="18" spans="3:6" ht="16.5" thickBot="1" x14ac:dyDescent="0.3">
      <c r="C18" s="7" t="s">
        <v>142</v>
      </c>
      <c r="D18" s="36">
        <f>D14+D17</f>
        <v>1030</v>
      </c>
      <c r="E18" s="36">
        <f t="shared" ref="E18:F18" si="1">E14+E17</f>
        <v>-1124</v>
      </c>
      <c r="F18" s="37">
        <f t="shared" si="1"/>
        <v>-3867</v>
      </c>
    </row>
    <row r="19" spans="3:6" x14ac:dyDescent="0.25">
      <c r="C19" s="13" t="s">
        <v>52</v>
      </c>
      <c r="D19" s="34">
        <v>0</v>
      </c>
      <c r="E19" s="34">
        <v>1975</v>
      </c>
      <c r="F19" s="35">
        <v>49</v>
      </c>
    </row>
    <row r="20" spans="3:6" x14ac:dyDescent="0.25">
      <c r="C20" s="13" t="s">
        <v>53</v>
      </c>
      <c r="D20" s="34">
        <v>400</v>
      </c>
      <c r="E20" s="34">
        <v>440</v>
      </c>
      <c r="F20" s="35">
        <v>496</v>
      </c>
    </row>
    <row r="21" spans="3:6" ht="16.5" thickBot="1" x14ac:dyDescent="0.3">
      <c r="C21" s="13" t="s">
        <v>54</v>
      </c>
      <c r="D21" s="34">
        <v>630</v>
      </c>
      <c r="E21" s="34">
        <v>411</v>
      </c>
      <c r="F21" s="35">
        <v>-4313</v>
      </c>
    </row>
    <row r="22" spans="3:6" x14ac:dyDescent="0.25">
      <c r="C22" s="27" t="s">
        <v>55</v>
      </c>
      <c r="D22" s="38">
        <v>-465</v>
      </c>
      <c r="E22" s="38">
        <v>-1095</v>
      </c>
      <c r="F22" s="39">
        <v>-1506</v>
      </c>
    </row>
    <row r="23" spans="3:6" ht="16.5" thickBot="1" x14ac:dyDescent="0.3">
      <c r="C23" s="28" t="s">
        <v>56</v>
      </c>
      <c r="D23" s="40">
        <v>-1095</v>
      </c>
      <c r="E23" s="40">
        <v>-1506</v>
      </c>
      <c r="F23" s="41">
        <v>2807</v>
      </c>
    </row>
  </sheetData>
  <mergeCells count="1">
    <mergeCell ref="C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4:I19"/>
  <sheetViews>
    <sheetView workbookViewId="0">
      <selection activeCell="P57" sqref="P57"/>
    </sheetView>
  </sheetViews>
  <sheetFormatPr defaultColWidth="11" defaultRowHeight="15.75" x14ac:dyDescent="0.25"/>
  <cols>
    <col min="1" max="1" width="2.75" customWidth="1"/>
    <col min="2" max="2" width="14" bestFit="1" customWidth="1"/>
    <col min="3" max="3" width="34" bestFit="1" customWidth="1"/>
  </cols>
  <sheetData>
    <row r="4" spans="2:9" x14ac:dyDescent="0.25">
      <c r="B4" s="71"/>
      <c r="C4" s="71"/>
      <c r="D4" s="144">
        <v>1996</v>
      </c>
      <c r="E4" s="144">
        <v>1997</v>
      </c>
      <c r="F4" s="144">
        <v>1998</v>
      </c>
    </row>
    <row r="5" spans="2:9" x14ac:dyDescent="0.25">
      <c r="B5" s="71" t="s">
        <v>112</v>
      </c>
      <c r="C5" s="71" t="s">
        <v>113</v>
      </c>
      <c r="D5" s="83"/>
      <c r="E5" s="83">
        <v>113</v>
      </c>
      <c r="F5" s="83"/>
    </row>
    <row r="6" spans="2:9" x14ac:dyDescent="0.25">
      <c r="B6" s="71"/>
      <c r="C6" s="71" t="s">
        <v>62</v>
      </c>
      <c r="D6" s="83"/>
      <c r="E6" s="83">
        <v>187</v>
      </c>
      <c r="F6" s="83"/>
    </row>
    <row r="7" spans="2:9" x14ac:dyDescent="0.25">
      <c r="B7" s="71" t="s">
        <v>58</v>
      </c>
      <c r="C7" s="71" t="s">
        <v>63</v>
      </c>
      <c r="D7" s="83">
        <v>400</v>
      </c>
      <c r="E7" s="83">
        <v>440</v>
      </c>
      <c r="F7" s="83">
        <v>496</v>
      </c>
    </row>
    <row r="8" spans="2:9" x14ac:dyDescent="0.25">
      <c r="B8" s="71" t="s">
        <v>110</v>
      </c>
      <c r="C8" s="71" t="s">
        <v>114</v>
      </c>
      <c r="D8" s="83">
        <v>207</v>
      </c>
      <c r="E8" s="83">
        <v>519</v>
      </c>
      <c r="F8" s="83">
        <v>653</v>
      </c>
    </row>
    <row r="9" spans="2:9" x14ac:dyDescent="0.25">
      <c r="B9" s="71"/>
      <c r="C9" s="71" t="s">
        <v>125</v>
      </c>
      <c r="D9" s="145">
        <v>0.15</v>
      </c>
      <c r="E9" s="145">
        <v>0.15</v>
      </c>
      <c r="F9" s="145">
        <v>0.15</v>
      </c>
    </row>
    <row r="11" spans="2:9" ht="16.5" thickBot="1" x14ac:dyDescent="0.3"/>
    <row r="12" spans="2:9" ht="24" thickBot="1" x14ac:dyDescent="0.4">
      <c r="C12" s="173" t="s">
        <v>104</v>
      </c>
      <c r="D12" s="174"/>
      <c r="E12" s="174"/>
      <c r="F12" s="174"/>
      <c r="G12" s="174"/>
      <c r="H12" s="174"/>
      <c r="I12" s="175"/>
    </row>
    <row r="13" spans="2:9" ht="16.5" thickBot="1" x14ac:dyDescent="0.3"/>
    <row r="14" spans="2:9" x14ac:dyDescent="0.25">
      <c r="C14" s="179" t="s">
        <v>91</v>
      </c>
      <c r="D14" s="176">
        <v>1996</v>
      </c>
      <c r="E14" s="177"/>
      <c r="F14" s="178">
        <v>1997</v>
      </c>
      <c r="G14" s="178"/>
      <c r="H14" s="176">
        <v>1998</v>
      </c>
      <c r="I14" s="177"/>
    </row>
    <row r="15" spans="2:9" ht="16.5" thickBot="1" x14ac:dyDescent="0.3">
      <c r="C15" s="180"/>
      <c r="D15" s="66" t="s">
        <v>100</v>
      </c>
      <c r="E15" s="53" t="s">
        <v>101</v>
      </c>
      <c r="F15" s="52" t="s">
        <v>100</v>
      </c>
      <c r="G15" s="52" t="s">
        <v>101</v>
      </c>
      <c r="H15" s="66" t="s">
        <v>100</v>
      </c>
      <c r="I15" s="53" t="s">
        <v>101</v>
      </c>
    </row>
    <row r="16" spans="2:9" x14ac:dyDescent="0.25">
      <c r="C16" s="62" t="s">
        <v>96</v>
      </c>
      <c r="D16" s="67">
        <v>2500</v>
      </c>
      <c r="E16" s="55">
        <v>747</v>
      </c>
      <c r="F16" s="54">
        <v>3380</v>
      </c>
      <c r="G16" s="54">
        <v>1100</v>
      </c>
      <c r="H16" s="67">
        <v>7536</v>
      </c>
      <c r="I16" s="55">
        <v>2100</v>
      </c>
    </row>
    <row r="17" spans="3:9" x14ac:dyDescent="0.25">
      <c r="C17" s="63" t="s">
        <v>97</v>
      </c>
      <c r="D17" s="68">
        <v>500</v>
      </c>
      <c r="E17" s="57">
        <v>298</v>
      </c>
      <c r="F17" s="56">
        <v>550</v>
      </c>
      <c r="G17" s="56">
        <v>411</v>
      </c>
      <c r="H17" s="68">
        <v>1212</v>
      </c>
      <c r="I17" s="57">
        <v>1215</v>
      </c>
    </row>
    <row r="18" spans="3:9" ht="16.5" thickBot="1" x14ac:dyDescent="0.3">
      <c r="C18" s="64" t="s">
        <v>98</v>
      </c>
      <c r="D18" s="69">
        <v>1500</v>
      </c>
      <c r="E18" s="59">
        <v>127</v>
      </c>
      <c r="F18" s="58">
        <v>2151</v>
      </c>
      <c r="G18" s="58">
        <v>168</v>
      </c>
      <c r="H18" s="69">
        <v>2613</v>
      </c>
      <c r="I18" s="59">
        <v>300</v>
      </c>
    </row>
    <row r="19" spans="3:9" ht="16.5" thickBot="1" x14ac:dyDescent="0.3">
      <c r="C19" s="65" t="s">
        <v>99</v>
      </c>
      <c r="D19" s="70">
        <f t="shared" ref="D19:I19" si="0">SUM(D16:D18)</f>
        <v>4500</v>
      </c>
      <c r="E19" s="61">
        <f t="shared" si="0"/>
        <v>1172</v>
      </c>
      <c r="F19" s="60">
        <f t="shared" si="0"/>
        <v>6081</v>
      </c>
      <c r="G19" s="60">
        <f t="shared" si="0"/>
        <v>1679</v>
      </c>
      <c r="H19" s="70">
        <f t="shared" si="0"/>
        <v>11361</v>
      </c>
      <c r="I19" s="61">
        <f t="shared" si="0"/>
        <v>3615</v>
      </c>
    </row>
  </sheetData>
  <mergeCells count="5">
    <mergeCell ref="H14:I14"/>
    <mergeCell ref="F14:G14"/>
    <mergeCell ref="D14:E14"/>
    <mergeCell ref="C14:C15"/>
    <mergeCell ref="C12:I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87"/>
  <sheetViews>
    <sheetView showGridLines="0" topLeftCell="A4" zoomScale="85" zoomScaleNormal="85" workbookViewId="0">
      <selection activeCell="K16" sqref="K16"/>
    </sheetView>
  </sheetViews>
  <sheetFormatPr defaultColWidth="11" defaultRowHeight="15.75" x14ac:dyDescent="0.25"/>
  <cols>
    <col min="1" max="1" width="3" customWidth="1"/>
    <col min="2" max="2" width="1.875" customWidth="1"/>
    <col min="3" max="3" width="32.625" customWidth="1"/>
    <col min="4" max="6" width="11" style="5"/>
    <col min="7" max="7" width="8.75" style="5" customWidth="1"/>
    <col min="8" max="8" width="8.75" style="5" bestFit="1" customWidth="1"/>
    <col min="9" max="9" width="8.75" bestFit="1" customWidth="1"/>
    <col min="10" max="11" width="9.875" bestFit="1" customWidth="1"/>
    <col min="12" max="12" width="10.25" bestFit="1" customWidth="1"/>
    <col min="13" max="14" width="9.875" bestFit="1" customWidth="1"/>
    <col min="15" max="15" width="11.25" bestFit="1" customWidth="1"/>
    <col min="17" max="18" width="4.875" customWidth="1"/>
  </cols>
  <sheetData>
    <row r="1" spans="1:12" x14ac:dyDescent="0.25">
      <c r="A1" s="88"/>
      <c r="B1" s="88"/>
      <c r="C1" s="88"/>
      <c r="D1" s="93"/>
      <c r="E1" s="93"/>
      <c r="F1" s="93"/>
      <c r="G1" s="93"/>
      <c r="H1" s="93"/>
      <c r="I1" s="88"/>
      <c r="J1" s="88"/>
      <c r="K1" s="88"/>
    </row>
    <row r="2" spans="1:12" ht="28.5" x14ac:dyDescent="0.45">
      <c r="A2" s="88"/>
      <c r="B2" s="88"/>
      <c r="C2" s="193" t="s">
        <v>165</v>
      </c>
      <c r="D2" s="194"/>
      <c r="E2" s="194"/>
      <c r="F2" s="194"/>
      <c r="G2" s="194"/>
      <c r="H2" s="194"/>
      <c r="I2" s="194"/>
      <c r="J2" s="194"/>
      <c r="K2" s="194"/>
      <c r="L2" s="195"/>
    </row>
    <row r="3" spans="1:12" x14ac:dyDescent="0.25">
      <c r="A3" s="88"/>
      <c r="B3" s="88"/>
      <c r="C3" s="88"/>
      <c r="D3" s="93"/>
      <c r="E3" s="93"/>
      <c r="F3" s="93"/>
      <c r="G3" s="93"/>
      <c r="H3" s="93"/>
      <c r="I3" s="88"/>
      <c r="J3" s="88"/>
      <c r="K3" s="88"/>
    </row>
    <row r="4" spans="1:12" x14ac:dyDescent="0.25">
      <c r="A4" s="88"/>
      <c r="B4" s="88"/>
      <c r="C4" s="88" t="s">
        <v>175</v>
      </c>
      <c r="D4" s="93"/>
      <c r="E4" s="93"/>
      <c r="F4" s="93"/>
      <c r="G4" s="93"/>
      <c r="H4" s="93"/>
      <c r="I4" s="88"/>
      <c r="J4" s="88"/>
      <c r="K4" s="88"/>
    </row>
    <row r="5" spans="1:12" x14ac:dyDescent="0.25">
      <c r="A5" s="88"/>
      <c r="B5" s="88"/>
      <c r="C5" s="88" t="s">
        <v>176</v>
      </c>
      <c r="D5" s="93"/>
      <c r="E5" s="93"/>
      <c r="F5" s="93"/>
      <c r="G5" s="93"/>
      <c r="H5" s="93"/>
      <c r="I5" s="88"/>
      <c r="J5" s="88"/>
      <c r="K5" s="88"/>
    </row>
    <row r="6" spans="1:12" x14ac:dyDescent="0.25">
      <c r="A6" s="88"/>
      <c r="B6" s="88"/>
      <c r="C6" s="88"/>
      <c r="D6" s="93"/>
      <c r="E6" s="93"/>
      <c r="F6" s="93"/>
      <c r="G6" s="93"/>
      <c r="H6" s="93"/>
      <c r="I6" s="88"/>
      <c r="J6" s="88"/>
      <c r="K6" s="88"/>
    </row>
    <row r="7" spans="1:12" ht="21" x14ac:dyDescent="0.35">
      <c r="A7" s="88"/>
      <c r="B7" s="88"/>
      <c r="C7" s="190" t="s">
        <v>141</v>
      </c>
      <c r="D7" s="191"/>
      <c r="E7" s="191"/>
      <c r="F7" s="191"/>
      <c r="G7" s="191"/>
      <c r="H7" s="191"/>
      <c r="I7" s="191"/>
      <c r="J7" s="191"/>
      <c r="K7" s="191"/>
      <c r="L7" s="192"/>
    </row>
    <row r="8" spans="1:12" x14ac:dyDescent="0.25">
      <c r="A8" s="88"/>
      <c r="B8" s="88"/>
      <c r="C8" s="88"/>
      <c r="D8" s="93"/>
      <c r="E8" s="93"/>
      <c r="F8" s="93"/>
      <c r="G8" s="93"/>
      <c r="H8" s="93"/>
      <c r="I8" s="88"/>
      <c r="J8" s="88"/>
      <c r="K8" s="88"/>
    </row>
    <row r="9" spans="1:12" x14ac:dyDescent="0.25">
      <c r="A9" s="88"/>
      <c r="C9" t="s">
        <v>21</v>
      </c>
      <c r="D9" s="3"/>
      <c r="E9" s="3"/>
      <c r="F9" s="3"/>
      <c r="G9"/>
      <c r="H9"/>
      <c r="I9" s="88"/>
      <c r="J9" s="88"/>
      <c r="K9" s="88"/>
    </row>
    <row r="10" spans="1:12" x14ac:dyDescent="0.25">
      <c r="A10" s="88"/>
      <c r="D10" s="3"/>
      <c r="E10" s="3"/>
      <c r="F10" s="3"/>
      <c r="G10"/>
      <c r="H10"/>
      <c r="I10" s="88"/>
      <c r="J10" s="88"/>
      <c r="K10" s="88"/>
    </row>
    <row r="11" spans="1:12" x14ac:dyDescent="0.25">
      <c r="A11" s="88"/>
      <c r="C11" s="71"/>
      <c r="D11" s="84">
        <v>1996</v>
      </c>
      <c r="E11" s="84">
        <v>1997</v>
      </c>
      <c r="F11" s="84">
        <v>1998</v>
      </c>
      <c r="G11"/>
      <c r="H11"/>
      <c r="I11" s="88"/>
      <c r="J11" s="88"/>
      <c r="K11" s="88"/>
    </row>
    <row r="12" spans="1:12" x14ac:dyDescent="0.25">
      <c r="A12" s="88"/>
      <c r="C12" s="71" t="s">
        <v>22</v>
      </c>
      <c r="D12" s="85">
        <f>Résultat!C7</f>
        <v>7545</v>
      </c>
      <c r="E12" s="85">
        <f>Résultat!E7</f>
        <v>9995</v>
      </c>
      <c r="F12" s="85">
        <f>Résultat!G7</f>
        <v>17738</v>
      </c>
      <c r="G12"/>
      <c r="H12"/>
      <c r="I12" s="88"/>
      <c r="J12" s="88"/>
      <c r="K12" s="88"/>
    </row>
    <row r="13" spans="1:12" x14ac:dyDescent="0.25">
      <c r="A13" s="88"/>
      <c r="C13" s="71" t="s">
        <v>93</v>
      </c>
      <c r="D13" s="85">
        <f>Annexe!E19</f>
        <v>1172</v>
      </c>
      <c r="E13" s="85">
        <f>Annexe!G19</f>
        <v>1679</v>
      </c>
      <c r="F13" s="85">
        <f>Annexe!I19</f>
        <v>3615</v>
      </c>
      <c r="G13"/>
      <c r="H13"/>
      <c r="I13" s="88"/>
      <c r="J13" s="88"/>
      <c r="K13" s="88"/>
    </row>
    <row r="14" spans="1:12" x14ac:dyDescent="0.25">
      <c r="A14" s="88"/>
      <c r="C14" s="71" t="s">
        <v>92</v>
      </c>
      <c r="D14" s="85">
        <f>D12-D13</f>
        <v>6373</v>
      </c>
      <c r="E14" s="85">
        <f t="shared" ref="E14:F14" si="0">E12-E13</f>
        <v>8316</v>
      </c>
      <c r="F14" s="85">
        <f t="shared" si="0"/>
        <v>14123</v>
      </c>
      <c r="G14"/>
      <c r="H14"/>
      <c r="I14" s="88"/>
      <c r="J14" s="88"/>
      <c r="K14" s="88"/>
    </row>
    <row r="15" spans="1:12" x14ac:dyDescent="0.25">
      <c r="A15" s="88"/>
      <c r="C15" s="71" t="s">
        <v>102</v>
      </c>
      <c r="D15" s="86">
        <f>D14/D12</f>
        <v>0.84466534128561965</v>
      </c>
      <c r="E15" s="86">
        <f t="shared" ref="E15:F15" si="1">E14/E12</f>
        <v>0.83201600800400199</v>
      </c>
      <c r="F15" s="86">
        <f t="shared" si="1"/>
        <v>0.7962002480550231</v>
      </c>
      <c r="G15"/>
      <c r="H15"/>
      <c r="I15" s="88"/>
      <c r="J15" s="88"/>
      <c r="K15" s="88"/>
    </row>
    <row r="16" spans="1:12" x14ac:dyDescent="0.25">
      <c r="A16" s="88"/>
      <c r="C16" s="71" t="s">
        <v>94</v>
      </c>
      <c r="D16" s="85">
        <f>Annexe!D19</f>
        <v>4500</v>
      </c>
      <c r="E16" s="85">
        <f>Annexe!F19</f>
        <v>6081</v>
      </c>
      <c r="F16" s="85">
        <f>Annexe!H19</f>
        <v>11361</v>
      </c>
      <c r="G16"/>
      <c r="H16"/>
      <c r="I16" s="88"/>
      <c r="J16" s="88"/>
      <c r="K16" s="88"/>
    </row>
    <row r="17" spans="1:16" x14ac:dyDescent="0.25">
      <c r="A17" s="88"/>
      <c r="C17" s="71" t="s">
        <v>95</v>
      </c>
      <c r="D17" s="85">
        <f>D16/D15</f>
        <v>5327.5537423505411</v>
      </c>
      <c r="E17" s="85">
        <f t="shared" ref="E17:F17" si="2">E16/E15</f>
        <v>7308.7536075036078</v>
      </c>
      <c r="F17" s="85">
        <f t="shared" si="2"/>
        <v>14269.023436946825</v>
      </c>
      <c r="G17"/>
      <c r="H17"/>
      <c r="I17" s="88"/>
      <c r="J17" s="88"/>
      <c r="K17" s="88"/>
    </row>
    <row r="18" spans="1:16" x14ac:dyDescent="0.25">
      <c r="A18" s="88"/>
      <c r="C18" s="71" t="s">
        <v>103</v>
      </c>
      <c r="D18" s="86">
        <f>(D12/D17)-1</f>
        <v>0.41622222222222227</v>
      </c>
      <c r="E18" s="86">
        <f t="shared" ref="E18:F18" si="3">(E12/E17)-1</f>
        <v>0.3675382338431179</v>
      </c>
      <c r="F18" s="86">
        <f t="shared" si="3"/>
        <v>0.24311240207728191</v>
      </c>
      <c r="G18" s="158" t="s">
        <v>23</v>
      </c>
      <c r="H18"/>
      <c r="I18" s="88"/>
      <c r="J18" s="88"/>
      <c r="K18" s="88"/>
    </row>
    <row r="19" spans="1:16" x14ac:dyDescent="0.25">
      <c r="A19" s="88"/>
      <c r="B19" s="88"/>
      <c r="C19" s="88"/>
      <c r="D19" s="93"/>
      <c r="E19" s="93"/>
      <c r="F19" s="93"/>
      <c r="G19" s="93"/>
      <c r="H19" s="93"/>
      <c r="I19" s="88"/>
      <c r="J19" s="88"/>
      <c r="K19" s="88"/>
    </row>
    <row r="20" spans="1:16" x14ac:dyDescent="0.25">
      <c r="A20" s="88"/>
      <c r="B20" s="88"/>
      <c r="C20" s="88"/>
      <c r="D20" s="93"/>
      <c r="E20" s="93"/>
      <c r="F20" s="93"/>
      <c r="G20" s="93"/>
      <c r="H20" s="93"/>
      <c r="I20" s="88"/>
      <c r="J20" s="88"/>
      <c r="K20" s="88"/>
    </row>
    <row r="21" spans="1:16" ht="21" x14ac:dyDescent="0.35">
      <c r="A21" s="88"/>
      <c r="B21" s="88"/>
      <c r="C21" s="190" t="s">
        <v>138</v>
      </c>
      <c r="D21" s="191"/>
      <c r="E21" s="191"/>
      <c r="F21" s="191"/>
      <c r="G21" s="191"/>
      <c r="H21" s="191"/>
      <c r="I21" s="191"/>
      <c r="J21" s="191"/>
      <c r="K21" s="191"/>
      <c r="L21" s="192"/>
    </row>
    <row r="22" spans="1:16" ht="9" customHeight="1" x14ac:dyDescent="0.25">
      <c r="A22" s="88"/>
      <c r="B22" s="88"/>
      <c r="C22" s="88"/>
      <c r="D22" s="88"/>
      <c r="E22" s="88"/>
      <c r="F22" s="88"/>
      <c r="G22" s="88"/>
      <c r="H22" s="88"/>
      <c r="I22" s="88"/>
    </row>
    <row r="23" spans="1:16" s="5" customFormat="1" ht="31.5" x14ac:dyDescent="0.25">
      <c r="A23" s="93"/>
      <c r="B23" s="93"/>
      <c r="C23" s="79" t="s">
        <v>109</v>
      </c>
      <c r="D23" s="80">
        <v>1996</v>
      </c>
      <c r="E23" s="80">
        <v>1997</v>
      </c>
      <c r="F23" s="80">
        <v>1998</v>
      </c>
      <c r="G23" s="80">
        <v>1999</v>
      </c>
      <c r="H23" s="80">
        <v>2000</v>
      </c>
      <c r="I23" s="134">
        <v>2001</v>
      </c>
      <c r="J23" s="80">
        <v>2002</v>
      </c>
      <c r="K23" s="80">
        <v>2003</v>
      </c>
      <c r="L23" s="137" t="s">
        <v>105</v>
      </c>
      <c r="M23"/>
      <c r="N23"/>
      <c r="O23"/>
      <c r="P23"/>
    </row>
    <row r="24" spans="1:16" s="5" customFormat="1" x14ac:dyDescent="0.25">
      <c r="A24" s="93"/>
      <c r="B24" s="93"/>
      <c r="C24" s="76" t="s">
        <v>22</v>
      </c>
      <c r="D24" s="77">
        <v>7545</v>
      </c>
      <c r="E24" s="77">
        <v>9995</v>
      </c>
      <c r="F24" s="77">
        <v>17738</v>
      </c>
      <c r="G24" s="77">
        <f>F24*($L$25+1)</f>
        <v>27197.397819412472</v>
      </c>
      <c r="H24" s="77">
        <f>G24*($L$25+1)</f>
        <v>41701.344466534123</v>
      </c>
      <c r="I24" s="77">
        <f>H24*($L$25+1)</f>
        <v>63940.018889428546</v>
      </c>
      <c r="J24" s="77">
        <f>I24*($L$25+1)</f>
        <v>98038.230370759731</v>
      </c>
      <c r="K24" s="77">
        <f>J24*($L$25+1)</f>
        <v>150320.48443481556</v>
      </c>
      <c r="L24" s="138"/>
      <c r="M24" t="s">
        <v>192</v>
      </c>
      <c r="N24"/>
      <c r="O24"/>
      <c r="P24"/>
    </row>
    <row r="25" spans="1:16" s="5" customFormat="1" x14ac:dyDescent="0.25">
      <c r="A25" s="93"/>
      <c r="B25" s="93"/>
      <c r="C25" s="76" t="s">
        <v>117</v>
      </c>
      <c r="D25" s="77"/>
      <c r="E25" s="89">
        <f>(E24-D24)/D24</f>
        <v>0.32471835652750164</v>
      </c>
      <c r="F25" s="89">
        <f>(F24-E24)/E24</f>
        <v>0.77468734367183589</v>
      </c>
      <c r="G25" s="89">
        <f t="shared" ref="G25:K25" si="4">(G24-F24)/F24</f>
        <v>0.5332843510774874</v>
      </c>
      <c r="H25" s="89">
        <f t="shared" si="4"/>
        <v>0.5332843510774874</v>
      </c>
      <c r="I25" s="89">
        <f t="shared" si="4"/>
        <v>0.53328435107748751</v>
      </c>
      <c r="J25" s="89">
        <f t="shared" si="4"/>
        <v>0.5332843510774874</v>
      </c>
      <c r="K25" s="89">
        <f t="shared" si="4"/>
        <v>0.53328435107748751</v>
      </c>
      <c r="L25" s="139">
        <f>((F24/D24)^(1/2))-1</f>
        <v>0.5332843510774874</v>
      </c>
      <c r="M25"/>
      <c r="N25"/>
      <c r="O25"/>
      <c r="P25"/>
    </row>
    <row r="26" spans="1:16" s="5" customFormat="1" x14ac:dyDescent="0.25">
      <c r="A26" s="93"/>
      <c r="B26" s="93"/>
      <c r="C26" s="73" t="s">
        <v>96</v>
      </c>
      <c r="D26" s="142">
        <v>3247</v>
      </c>
      <c r="E26" s="143">
        <v>4480</v>
      </c>
      <c r="F26" s="143">
        <v>9637</v>
      </c>
      <c r="H26" s="93"/>
      <c r="I26" s="88"/>
      <c r="J26"/>
      <c r="L26" s="90">
        <f>((F26/D26)^(1/2))-1</f>
        <v>0.72277985658266775</v>
      </c>
      <c r="M26"/>
      <c r="N26"/>
      <c r="O26"/>
      <c r="P26"/>
    </row>
    <row r="27" spans="1:16" s="5" customFormat="1" x14ac:dyDescent="0.25">
      <c r="A27" s="93"/>
      <c r="B27" s="93"/>
      <c r="C27" s="73" t="s">
        <v>108</v>
      </c>
      <c r="D27" s="140">
        <v>798</v>
      </c>
      <c r="E27" s="72">
        <v>961</v>
      </c>
      <c r="F27" s="72">
        <v>2427</v>
      </c>
      <c r="H27" s="93"/>
      <c r="I27" s="88"/>
      <c r="J27"/>
      <c r="L27" s="90">
        <f>((F27/D27)^(1/2))-1</f>
        <v>0.74394764355431464</v>
      </c>
      <c r="M27"/>
      <c r="N27"/>
      <c r="O27"/>
      <c r="P27"/>
    </row>
    <row r="28" spans="1:16" s="5" customFormat="1" x14ac:dyDescent="0.25">
      <c r="A28" s="93"/>
      <c r="B28" s="93"/>
      <c r="C28" s="73" t="s">
        <v>98</v>
      </c>
      <c r="D28" s="140">
        <v>1627</v>
      </c>
      <c r="E28" s="72">
        <v>2319</v>
      </c>
      <c r="F28" s="72">
        <v>2913</v>
      </c>
      <c r="H28" s="93"/>
      <c r="I28" s="88"/>
      <c r="J28"/>
      <c r="L28" s="90">
        <f>((F28/D28)^(1/2))-1</f>
        <v>0.33806270438289987</v>
      </c>
      <c r="M28"/>
      <c r="N28"/>
      <c r="O28"/>
      <c r="P28"/>
    </row>
    <row r="29" spans="1:16" s="5" customFormat="1" x14ac:dyDescent="0.25">
      <c r="A29" s="93"/>
      <c r="B29" s="93"/>
      <c r="C29" s="81" t="s">
        <v>115</v>
      </c>
      <c r="D29" s="141">
        <f>SUM(D26:D28)</f>
        <v>5672</v>
      </c>
      <c r="E29" s="82">
        <f t="shared" ref="E29:F29" si="5">SUM(E26:E28)</f>
        <v>7760</v>
      </c>
      <c r="F29" s="82">
        <f t="shared" si="5"/>
        <v>14977</v>
      </c>
      <c r="G29" s="82">
        <f>F29*($L$30+1)</f>
        <v>24337.117203392962</v>
      </c>
      <c r="H29" s="82">
        <f>G29*($L$30+1)</f>
        <v>39546.990303244012</v>
      </c>
      <c r="I29" s="136">
        <f>H29*($L$30+1)</f>
        <v>64262.518398310371</v>
      </c>
      <c r="J29" s="82">
        <f>I29*($L$30+1)</f>
        <v>104424.41357046644</v>
      </c>
      <c r="K29" s="82">
        <f>J29*($L$30+1)</f>
        <v>169686.13153235093</v>
      </c>
      <c r="L29" s="78"/>
      <c r="M29"/>
      <c r="N29"/>
      <c r="O29"/>
      <c r="P29"/>
    </row>
    <row r="30" spans="1:16" s="5" customFormat="1" x14ac:dyDescent="0.25">
      <c r="A30" s="93"/>
      <c r="B30" s="93"/>
      <c r="C30" s="81" t="s">
        <v>118</v>
      </c>
      <c r="D30" s="141"/>
      <c r="E30" s="91">
        <f>(E29-D29)/D29</f>
        <v>0.36812411847672777</v>
      </c>
      <c r="F30" s="91">
        <f>(F29-E29)/E29</f>
        <v>0.93002577319587632</v>
      </c>
      <c r="G30" s="91">
        <f>(G29-F29)/F29</f>
        <v>0.62496609490505184</v>
      </c>
      <c r="H30" s="91">
        <f t="shared" ref="H30:K30" si="6">(H29-G29)/G29</f>
        <v>0.62496609490505162</v>
      </c>
      <c r="I30" s="135">
        <f t="shared" si="6"/>
        <v>0.62496609490505173</v>
      </c>
      <c r="J30" s="91">
        <f t="shared" si="6"/>
        <v>0.62496609490505162</v>
      </c>
      <c r="K30" s="91">
        <f t="shared" si="6"/>
        <v>0.62496609490505173</v>
      </c>
      <c r="L30" s="92">
        <f>((F29/D29)^(1/2))-1</f>
        <v>0.62496609490505173</v>
      </c>
      <c r="M30"/>
      <c r="N30"/>
      <c r="O30"/>
      <c r="P30"/>
    </row>
    <row r="31" spans="1:16" ht="9" customHeight="1" x14ac:dyDescent="0.25">
      <c r="A31" s="88"/>
      <c r="B31" s="88"/>
      <c r="C31" s="88"/>
      <c r="D31" s="93"/>
      <c r="E31" s="93"/>
      <c r="F31" s="93"/>
      <c r="H31" s="93"/>
      <c r="I31" s="88"/>
      <c r="L31" s="93"/>
    </row>
    <row r="32" spans="1:16" x14ac:dyDescent="0.25">
      <c r="A32" s="88"/>
      <c r="B32" s="88"/>
      <c r="C32" s="71" t="s">
        <v>116</v>
      </c>
      <c r="D32" s="75">
        <f>D24-D29</f>
        <v>1873</v>
      </c>
      <c r="E32" s="75">
        <f t="shared" ref="E32:K32" si="7">E24-E29</f>
        <v>2235</v>
      </c>
      <c r="F32" s="75">
        <f t="shared" si="7"/>
        <v>2761</v>
      </c>
      <c r="G32" s="75">
        <f t="shared" si="7"/>
        <v>2860.2806160195105</v>
      </c>
      <c r="H32" s="75">
        <f t="shared" si="7"/>
        <v>2154.3541632901106</v>
      </c>
      <c r="I32" s="75">
        <f t="shared" si="7"/>
        <v>-322.49950888182502</v>
      </c>
      <c r="J32" s="75">
        <f t="shared" si="7"/>
        <v>-6386.1831997067056</v>
      </c>
      <c r="K32" s="75">
        <f t="shared" si="7"/>
        <v>-19365.647097535373</v>
      </c>
      <c r="L32" s="78"/>
    </row>
    <row r="33" spans="1:17" x14ac:dyDescent="0.25">
      <c r="A33" s="88"/>
      <c r="B33" s="88"/>
      <c r="C33" s="71" t="s">
        <v>190</v>
      </c>
      <c r="D33" s="78"/>
      <c r="E33" s="90">
        <f>(E32-D32)/D32</f>
        <v>0.19327282434596904</v>
      </c>
      <c r="F33" s="90">
        <f>(F32-E32)/E32</f>
        <v>0.23534675615212527</v>
      </c>
      <c r="G33" s="90">
        <f t="shared" ref="G33:K33" si="8">(G32-F32)/F32</f>
        <v>3.5958209351506877E-2</v>
      </c>
      <c r="H33" s="90">
        <f t="shared" si="8"/>
        <v>-0.24680321531241836</v>
      </c>
      <c r="I33" s="90">
        <f t="shared" si="8"/>
        <v>-1.1496966071675543</v>
      </c>
      <c r="J33" s="90">
        <f t="shared" si="8"/>
        <v>18.80214860434663</v>
      </c>
      <c r="K33" s="90">
        <f t="shared" si="8"/>
        <v>2.0324289942738831</v>
      </c>
      <c r="L33" s="90">
        <f>((F32/D32)^(1/2))-1</f>
        <v>0.21412755209668055</v>
      </c>
    </row>
    <row r="34" spans="1:17" x14ac:dyDescent="0.25">
      <c r="A34" s="88"/>
      <c r="B34" s="88"/>
      <c r="C34" s="156" t="s">
        <v>191</v>
      </c>
      <c r="D34" s="157">
        <f>D32/D24</f>
        <v>0.24824387011265739</v>
      </c>
      <c r="E34" s="157">
        <f t="shared" ref="E34:K34" si="9">E32/E24</f>
        <v>0.22361180590295149</v>
      </c>
      <c r="F34" s="157">
        <f t="shared" si="9"/>
        <v>0.15565452700417184</v>
      </c>
      <c r="G34" s="157">
        <f t="shared" si="9"/>
        <v>0.10516743678977812</v>
      </c>
      <c r="H34" s="157">
        <f t="shared" si="9"/>
        <v>5.1661503744058132E-2</v>
      </c>
      <c r="I34" s="157">
        <f t="shared" si="9"/>
        <v>-5.0437818831352444E-3</v>
      </c>
      <c r="J34" s="157">
        <f t="shared" si="9"/>
        <v>-6.5139723305444416E-2</v>
      </c>
      <c r="K34" s="157">
        <f t="shared" si="9"/>
        <v>-0.12882906258815993</v>
      </c>
      <c r="L34" s="155"/>
      <c r="M34" t="s">
        <v>193</v>
      </c>
    </row>
    <row r="35" spans="1:17" x14ac:dyDescent="0.25">
      <c r="A35" s="88"/>
      <c r="B35" s="88"/>
      <c r="C35" s="88"/>
      <c r="D35" s="93"/>
      <c r="E35" s="155"/>
      <c r="F35" s="155"/>
      <c r="G35" s="155"/>
      <c r="H35" s="155"/>
      <c r="I35" s="155"/>
      <c r="J35" s="155"/>
      <c r="K35" s="155"/>
      <c r="L35" s="155"/>
    </row>
    <row r="36" spans="1:17" ht="9" customHeight="1" x14ac:dyDescent="0.25">
      <c r="A36" s="88"/>
      <c r="B36" s="88"/>
      <c r="C36" s="88"/>
      <c r="D36" s="93"/>
      <c r="E36" s="93"/>
      <c r="F36" s="93"/>
      <c r="G36" s="93"/>
      <c r="H36" s="93"/>
      <c r="I36" s="88"/>
      <c r="J36" s="88"/>
      <c r="K36" s="93"/>
      <c r="L36" s="93"/>
    </row>
    <row r="37" spans="1:17" ht="15.75" customHeight="1" x14ac:dyDescent="0.25">
      <c r="A37" s="88"/>
      <c r="B37" s="88"/>
      <c r="C37" s="181" t="s">
        <v>163</v>
      </c>
      <c r="D37" s="182"/>
      <c r="E37" s="182"/>
      <c r="F37" s="182"/>
      <c r="G37" s="182"/>
      <c r="H37" s="182"/>
      <c r="I37" s="182"/>
      <c r="J37" s="182"/>
      <c r="K37" s="182"/>
      <c r="L37" s="183"/>
    </row>
    <row r="38" spans="1:17" x14ac:dyDescent="0.25">
      <c r="A38" s="88"/>
      <c r="B38" s="88"/>
      <c r="C38" s="184"/>
      <c r="D38" s="185"/>
      <c r="E38" s="185"/>
      <c r="F38" s="185"/>
      <c r="G38" s="185"/>
      <c r="H38" s="185"/>
      <c r="I38" s="185"/>
      <c r="J38" s="185"/>
      <c r="K38" s="185"/>
      <c r="L38" s="186"/>
    </row>
    <row r="39" spans="1:17" x14ac:dyDescent="0.25">
      <c r="A39" s="88"/>
      <c r="B39" s="88"/>
      <c r="C39" s="187"/>
      <c r="D39" s="188"/>
      <c r="E39" s="188"/>
      <c r="F39" s="188"/>
      <c r="G39" s="188"/>
      <c r="H39" s="188"/>
      <c r="I39" s="188"/>
      <c r="J39" s="188"/>
      <c r="K39" s="188"/>
      <c r="L39" s="189"/>
    </row>
    <row r="40" spans="1:17" x14ac:dyDescent="0.25">
      <c r="A40" s="88"/>
      <c r="B40" s="88"/>
      <c r="C40" s="88"/>
      <c r="D40" s="88"/>
      <c r="E40" s="88"/>
      <c r="F40" s="88"/>
      <c r="G40" s="88"/>
      <c r="H40" s="88"/>
      <c r="I40" s="88"/>
      <c r="J40" s="88"/>
      <c r="K40" s="88"/>
      <c r="L40" s="88"/>
      <c r="Q40" s="88"/>
    </row>
    <row r="41" spans="1:17" x14ac:dyDescent="0.25">
      <c r="A41" s="88"/>
      <c r="B41" s="88"/>
      <c r="C41" s="88"/>
      <c r="D41" s="88"/>
      <c r="E41" s="88"/>
      <c r="F41" s="88"/>
      <c r="G41" s="88"/>
      <c r="H41" s="88"/>
      <c r="I41" s="88"/>
      <c r="J41" s="88"/>
      <c r="K41" s="88"/>
      <c r="L41" s="88"/>
      <c r="Q41" s="88"/>
    </row>
    <row r="42" spans="1:17" x14ac:dyDescent="0.25">
      <c r="A42" s="88"/>
      <c r="B42" s="88"/>
      <c r="C42" s="88"/>
      <c r="D42" s="88"/>
      <c r="E42" s="88"/>
      <c r="F42" s="88"/>
      <c r="G42" s="88"/>
      <c r="H42" s="88"/>
      <c r="I42" s="88"/>
      <c r="J42" s="88"/>
      <c r="K42" s="88"/>
      <c r="L42" s="88"/>
      <c r="Q42" s="88"/>
    </row>
    <row r="43" spans="1:17" ht="9" customHeight="1" x14ac:dyDescent="0.25">
      <c r="A43" s="88"/>
      <c r="B43" s="88"/>
      <c r="C43" s="88"/>
      <c r="D43" s="93"/>
      <c r="E43" s="93"/>
      <c r="F43" s="93"/>
      <c r="G43" s="93"/>
      <c r="H43" s="93"/>
      <c r="I43" s="88"/>
      <c r="J43" s="88"/>
      <c r="K43" s="88"/>
      <c r="L43" s="88"/>
    </row>
    <row r="44" spans="1:17" x14ac:dyDescent="0.25">
      <c r="A44" s="88"/>
      <c r="B44" s="88"/>
      <c r="C44" s="88"/>
      <c r="D44" s="93"/>
      <c r="E44" s="93"/>
      <c r="F44" s="93"/>
      <c r="G44" s="93"/>
      <c r="H44" s="87"/>
    </row>
    <row r="45" spans="1:17" x14ac:dyDescent="0.25">
      <c r="A45" s="88"/>
      <c r="B45" s="88"/>
      <c r="C45" s="88"/>
      <c r="D45" s="93"/>
      <c r="E45" s="93"/>
      <c r="F45" s="93"/>
      <c r="G45" s="93"/>
      <c r="H45" s="87"/>
    </row>
    <row r="46" spans="1:17" x14ac:dyDescent="0.25">
      <c r="A46" s="88"/>
      <c r="B46" s="88"/>
      <c r="C46" s="88"/>
      <c r="D46" s="93"/>
      <c r="E46" s="93"/>
      <c r="F46" s="93"/>
      <c r="G46" s="93"/>
      <c r="H46" s="87"/>
    </row>
    <row r="47" spans="1:17" x14ac:dyDescent="0.25">
      <c r="A47" s="88"/>
      <c r="B47" s="88"/>
      <c r="C47" s="88"/>
      <c r="D47" s="93"/>
      <c r="E47" s="93"/>
      <c r="F47" s="93"/>
      <c r="G47" s="93"/>
      <c r="H47" s="87"/>
    </row>
    <row r="48" spans="1:17" x14ac:dyDescent="0.25">
      <c r="A48" s="88"/>
      <c r="B48" s="88"/>
      <c r="C48" s="88"/>
      <c r="D48" s="93"/>
      <c r="E48" s="93"/>
      <c r="F48" s="93"/>
      <c r="G48" s="93"/>
      <c r="H48" s="87"/>
    </row>
    <row r="49" spans="1:17" x14ac:dyDescent="0.25">
      <c r="A49" s="88"/>
      <c r="B49" s="88"/>
      <c r="C49" s="88"/>
      <c r="D49" s="93"/>
      <c r="E49" s="93"/>
      <c r="F49" s="93"/>
      <c r="G49" s="93"/>
      <c r="H49" s="87"/>
    </row>
    <row r="50" spans="1:17" x14ac:dyDescent="0.25">
      <c r="A50" s="88"/>
      <c r="B50" s="88"/>
      <c r="C50" s="88"/>
      <c r="D50" s="93"/>
      <c r="E50" s="93"/>
      <c r="F50" s="93"/>
      <c r="G50" s="93"/>
      <c r="H50" s="87"/>
    </row>
    <row r="51" spans="1:17" x14ac:dyDescent="0.25">
      <c r="A51" s="88"/>
      <c r="B51" s="88"/>
      <c r="C51" s="88"/>
      <c r="D51" s="93"/>
      <c r="E51" s="93"/>
      <c r="F51" s="93"/>
      <c r="G51" s="93"/>
      <c r="H51" s="87"/>
    </row>
    <row r="52" spans="1:17" x14ac:dyDescent="0.25">
      <c r="A52" s="88"/>
      <c r="B52" s="88"/>
      <c r="C52" s="88"/>
      <c r="D52" s="93"/>
      <c r="E52" s="93"/>
      <c r="F52" s="93"/>
      <c r="G52" s="93"/>
      <c r="H52" s="87"/>
    </row>
    <row r="53" spans="1:17" x14ac:dyDescent="0.25">
      <c r="A53" s="88"/>
      <c r="B53" s="88"/>
      <c r="C53" s="88"/>
      <c r="D53" s="93"/>
      <c r="E53" s="93"/>
      <c r="F53" s="93"/>
      <c r="G53" s="93"/>
      <c r="H53" s="87"/>
    </row>
    <row r="54" spans="1:17" x14ac:dyDescent="0.25">
      <c r="A54" s="88"/>
      <c r="B54" s="88"/>
      <c r="C54" s="88"/>
      <c r="D54" s="93"/>
      <c r="E54" s="93"/>
      <c r="F54" s="93"/>
      <c r="G54" s="93"/>
      <c r="H54" s="87"/>
    </row>
    <row r="55" spans="1:17" x14ac:dyDescent="0.25">
      <c r="A55" s="88"/>
      <c r="B55" s="88"/>
      <c r="C55" s="88"/>
      <c r="D55" s="93"/>
      <c r="E55" s="93"/>
      <c r="F55" s="93"/>
      <c r="G55" s="93"/>
      <c r="H55" s="87"/>
    </row>
    <row r="56" spans="1:17" x14ac:dyDescent="0.25">
      <c r="A56" s="88"/>
      <c r="B56" s="88"/>
      <c r="C56" s="88"/>
      <c r="D56" s="93"/>
      <c r="E56" s="93"/>
      <c r="F56" s="93"/>
      <c r="G56" s="93"/>
      <c r="H56" s="87"/>
    </row>
    <row r="57" spans="1:17" x14ac:dyDescent="0.25">
      <c r="A57" s="88"/>
      <c r="B57" s="88"/>
      <c r="C57" s="88"/>
      <c r="D57" s="93"/>
      <c r="E57" s="93"/>
      <c r="F57" s="93"/>
      <c r="G57" s="93"/>
      <c r="H57" s="87"/>
    </row>
    <row r="58" spans="1:17" x14ac:dyDescent="0.25">
      <c r="A58" s="88"/>
      <c r="B58" s="88"/>
      <c r="C58" s="88"/>
      <c r="D58" s="93"/>
      <c r="E58" s="93"/>
      <c r="F58" s="93"/>
      <c r="G58" s="93"/>
      <c r="H58" s="87"/>
    </row>
    <row r="59" spans="1:17" x14ac:dyDescent="0.25">
      <c r="A59" s="88"/>
      <c r="B59" s="88"/>
      <c r="C59" s="88"/>
      <c r="D59" s="93"/>
      <c r="E59" s="93"/>
      <c r="F59" s="93"/>
      <c r="G59" s="93"/>
      <c r="H59" s="87"/>
    </row>
    <row r="60" spans="1:17" ht="7.5" customHeight="1" x14ac:dyDescent="0.25">
      <c r="A60" s="88"/>
      <c r="B60" s="88"/>
      <c r="C60" s="88"/>
      <c r="D60" s="93"/>
      <c r="E60" s="93"/>
      <c r="F60" s="93"/>
      <c r="G60" s="93"/>
      <c r="H60" s="87"/>
    </row>
    <row r="61" spans="1:17" x14ac:dyDescent="0.25">
      <c r="A61" s="88"/>
      <c r="B61" s="88"/>
      <c r="C61" s="88"/>
      <c r="D61" s="93"/>
      <c r="E61" s="93"/>
      <c r="F61" s="93"/>
      <c r="G61" s="93"/>
      <c r="H61" s="93"/>
      <c r="I61" s="88"/>
      <c r="J61" s="88"/>
      <c r="K61" s="88"/>
      <c r="L61" s="88"/>
      <c r="M61" s="88"/>
      <c r="N61" s="88"/>
      <c r="O61" s="88"/>
      <c r="P61" s="88"/>
      <c r="Q61" s="88"/>
    </row>
    <row r="62" spans="1:17" x14ac:dyDescent="0.25">
      <c r="A62" s="88"/>
      <c r="B62" s="88"/>
    </row>
    <row r="66" spans="3:6" x14ac:dyDescent="0.25">
      <c r="C66" t="s">
        <v>168</v>
      </c>
    </row>
    <row r="68" spans="3:6" x14ac:dyDescent="0.25">
      <c r="D68" s="151">
        <v>1996</v>
      </c>
      <c r="E68" s="151">
        <v>1997</v>
      </c>
      <c r="F68" s="151">
        <v>1998</v>
      </c>
    </row>
    <row r="69" spans="3:6" x14ac:dyDescent="0.25">
      <c r="C69" s="71" t="s">
        <v>22</v>
      </c>
      <c r="D69" s="72">
        <v>7545</v>
      </c>
      <c r="E69" s="72">
        <v>9995</v>
      </c>
      <c r="F69" s="72">
        <v>17738</v>
      </c>
    </row>
    <row r="70" spans="3:6" x14ac:dyDescent="0.25">
      <c r="C70" s="73" t="s">
        <v>96</v>
      </c>
      <c r="D70" s="72">
        <v>3247</v>
      </c>
      <c r="E70" s="72">
        <v>4480</v>
      </c>
      <c r="F70" s="72">
        <v>9637</v>
      </c>
    </row>
    <row r="71" spans="3:6" x14ac:dyDescent="0.25">
      <c r="C71" s="73" t="s">
        <v>169</v>
      </c>
      <c r="D71" s="150">
        <f>D70/D$69</f>
        <v>0.4303512259774685</v>
      </c>
      <c r="E71" s="150">
        <f t="shared" ref="E71:F71" si="10">E70/E$69</f>
        <v>0.44822411205602802</v>
      </c>
      <c r="F71" s="150">
        <f t="shared" si="10"/>
        <v>0.54329687676175442</v>
      </c>
    </row>
    <row r="72" spans="3:6" x14ac:dyDescent="0.25">
      <c r="C72" s="73" t="s">
        <v>108</v>
      </c>
      <c r="D72" s="72">
        <v>798</v>
      </c>
      <c r="E72" s="72">
        <v>961</v>
      </c>
      <c r="F72" s="72">
        <v>2427</v>
      </c>
    </row>
    <row r="73" spans="3:6" x14ac:dyDescent="0.25">
      <c r="C73" s="73" t="s">
        <v>170</v>
      </c>
      <c r="D73" s="150">
        <f t="shared" ref="D73:F73" si="11">D72/D$69</f>
        <v>0.10576540755467197</v>
      </c>
      <c r="E73" s="150">
        <f t="shared" si="11"/>
        <v>9.6148074037018513E-2</v>
      </c>
      <c r="F73" s="150">
        <f t="shared" si="11"/>
        <v>0.136824895704138</v>
      </c>
    </row>
    <row r="74" spans="3:6" x14ac:dyDescent="0.25">
      <c r="C74" s="73" t="s">
        <v>98</v>
      </c>
      <c r="D74" s="72">
        <v>1627</v>
      </c>
      <c r="E74" s="72">
        <v>2319</v>
      </c>
      <c r="F74" s="72">
        <v>2913</v>
      </c>
    </row>
    <row r="75" spans="3:6" x14ac:dyDescent="0.25">
      <c r="C75" s="73" t="s">
        <v>171</v>
      </c>
      <c r="D75" s="150">
        <f t="shared" ref="D75:F75" si="12">D74/D$69</f>
        <v>0.21563949635520213</v>
      </c>
      <c r="E75" s="150">
        <f t="shared" si="12"/>
        <v>0.23201600800400199</v>
      </c>
      <c r="F75" s="150">
        <f t="shared" si="12"/>
        <v>0.16422370052993573</v>
      </c>
    </row>
    <row r="80" spans="3:6" x14ac:dyDescent="0.25">
      <c r="C80" t="s">
        <v>172</v>
      </c>
    </row>
    <row r="82" spans="3:6" x14ac:dyDescent="0.25">
      <c r="D82" s="151">
        <v>1996</v>
      </c>
      <c r="E82" s="151">
        <v>1997</v>
      </c>
      <c r="F82" s="151">
        <v>1998</v>
      </c>
    </row>
    <row r="83" spans="3:6" x14ac:dyDescent="0.25">
      <c r="C83" s="71" t="s">
        <v>22</v>
      </c>
      <c r="D83" s="72">
        <v>7545</v>
      </c>
      <c r="E83" s="72">
        <v>9995</v>
      </c>
      <c r="F83" s="72">
        <v>17738</v>
      </c>
    </row>
    <row r="84" spans="3:6" x14ac:dyDescent="0.25">
      <c r="C84" s="71" t="s">
        <v>93</v>
      </c>
      <c r="D84" s="85">
        <v>1172</v>
      </c>
      <c r="E84" s="85">
        <v>1679</v>
      </c>
      <c r="F84" s="85">
        <v>3615</v>
      </c>
    </row>
    <row r="85" spans="3:6" x14ac:dyDescent="0.25">
      <c r="C85" s="71" t="s">
        <v>94</v>
      </c>
      <c r="D85" s="85">
        <v>4500</v>
      </c>
      <c r="E85" s="85">
        <v>6081</v>
      </c>
      <c r="F85" s="85">
        <v>11361</v>
      </c>
    </row>
    <row r="86" spans="3:6" x14ac:dyDescent="0.25">
      <c r="C86" s="71" t="s">
        <v>95</v>
      </c>
      <c r="D86" s="85">
        <v>5327.5537423505411</v>
      </c>
      <c r="E86" s="85">
        <v>7308.7536075036078</v>
      </c>
      <c r="F86" s="85">
        <v>14269.023436946825</v>
      </c>
    </row>
    <row r="87" spans="3:6" x14ac:dyDescent="0.25">
      <c r="C87" s="71" t="s">
        <v>103</v>
      </c>
      <c r="D87" s="86">
        <v>0.41622222222222227</v>
      </c>
      <c r="E87" s="86">
        <v>0.3675382338431179</v>
      </c>
      <c r="F87" s="86">
        <v>0.24311240207728191</v>
      </c>
    </row>
  </sheetData>
  <mergeCells count="4">
    <mergeCell ref="C37:L39"/>
    <mergeCell ref="C21:L21"/>
    <mergeCell ref="C2:L2"/>
    <mergeCell ref="C7:L7"/>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J49"/>
  <sheetViews>
    <sheetView tabSelected="1" topLeftCell="A16" zoomScale="85" zoomScaleNormal="85" workbookViewId="0">
      <selection activeCell="G39" sqref="G39"/>
    </sheetView>
  </sheetViews>
  <sheetFormatPr defaultColWidth="11" defaultRowHeight="15.75" x14ac:dyDescent="0.25"/>
  <cols>
    <col min="1" max="3" width="3.625" customWidth="1"/>
    <col min="4" max="4" width="34.875" customWidth="1"/>
  </cols>
  <sheetData>
    <row r="2" spans="2:9" ht="28.5" x14ac:dyDescent="0.45">
      <c r="B2" s="197" t="s">
        <v>164</v>
      </c>
      <c r="C2" s="197"/>
      <c r="D2" s="197"/>
      <c r="E2" s="197"/>
      <c r="F2" s="197"/>
      <c r="G2" s="197"/>
      <c r="H2" s="197"/>
      <c r="I2" s="197"/>
    </row>
    <row r="4" spans="2:9" x14ac:dyDescent="0.25">
      <c r="C4" t="s">
        <v>139</v>
      </c>
    </row>
    <row r="5" spans="2:9" x14ac:dyDescent="0.25">
      <c r="C5" t="s">
        <v>140</v>
      </c>
    </row>
    <row r="7" spans="2:9" ht="23.25" x14ac:dyDescent="0.35">
      <c r="B7" s="196" t="s">
        <v>139</v>
      </c>
      <c r="C7" s="196"/>
      <c r="D7" s="196"/>
      <c r="E7" s="196"/>
      <c r="F7" s="196"/>
      <c r="G7" s="196"/>
      <c r="H7" s="196"/>
      <c r="I7" s="196"/>
    </row>
    <row r="9" spans="2:9" x14ac:dyDescent="0.25">
      <c r="E9" s="94">
        <v>1996</v>
      </c>
      <c r="F9" s="94">
        <v>1997</v>
      </c>
      <c r="G9" s="94">
        <v>1998</v>
      </c>
    </row>
    <row r="10" spans="2:9" x14ac:dyDescent="0.25">
      <c r="D10" s="71" t="s">
        <v>110</v>
      </c>
      <c r="E10" s="83">
        <v>207</v>
      </c>
      <c r="F10" s="83">
        <v>519</v>
      </c>
      <c r="G10" s="83">
        <v>653</v>
      </c>
    </row>
    <row r="11" spans="2:9" x14ac:dyDescent="0.25">
      <c r="D11" s="71" t="s">
        <v>111</v>
      </c>
      <c r="E11" s="85">
        <v>397</v>
      </c>
      <c r="F11" s="85">
        <v>1628</v>
      </c>
      <c r="G11" s="85">
        <v>1323</v>
      </c>
    </row>
    <row r="13" spans="2:9" x14ac:dyDescent="0.25">
      <c r="D13" t="s">
        <v>119</v>
      </c>
    </row>
    <row r="14" spans="2:9" x14ac:dyDescent="0.25">
      <c r="D14" t="s">
        <v>166</v>
      </c>
    </row>
    <row r="15" spans="2:9" x14ac:dyDescent="0.25">
      <c r="D15" t="s">
        <v>167</v>
      </c>
    </row>
    <row r="19" spans="2:9" ht="23.25" x14ac:dyDescent="0.35">
      <c r="B19" s="196" t="s">
        <v>140</v>
      </c>
      <c r="C19" s="196"/>
      <c r="D19" s="196"/>
      <c r="E19" s="196"/>
      <c r="F19" s="196"/>
      <c r="G19" s="196"/>
      <c r="H19" s="196"/>
      <c r="I19" s="196"/>
    </row>
    <row r="22" spans="2:9" x14ac:dyDescent="0.25">
      <c r="C22" t="s">
        <v>120</v>
      </c>
    </row>
    <row r="23" spans="2:9" x14ac:dyDescent="0.25">
      <c r="C23" t="s">
        <v>121</v>
      </c>
    </row>
    <row r="24" spans="2:9" x14ac:dyDescent="0.25">
      <c r="D24" t="s">
        <v>122</v>
      </c>
    </row>
    <row r="25" spans="2:9" x14ac:dyDescent="0.25">
      <c r="D25" t="s">
        <v>123</v>
      </c>
    </row>
    <row r="26" spans="2:9" x14ac:dyDescent="0.25">
      <c r="D26" t="s">
        <v>124</v>
      </c>
    </row>
    <row r="27" spans="2:9" x14ac:dyDescent="0.25">
      <c r="D27" t="s">
        <v>126</v>
      </c>
    </row>
    <row r="28" spans="2:9" x14ac:dyDescent="0.25">
      <c r="D28" t="s">
        <v>127</v>
      </c>
    </row>
    <row r="30" spans="2:9" x14ac:dyDescent="0.25">
      <c r="C30" t="s">
        <v>128</v>
      </c>
    </row>
    <row r="32" spans="2:9" ht="16.5" thickBot="1" x14ac:dyDescent="0.3"/>
    <row r="33" spans="4:10" ht="16.5" thickBot="1" x14ac:dyDescent="0.3">
      <c r="E33" s="49">
        <v>1996</v>
      </c>
      <c r="F33" s="51">
        <v>1997</v>
      </c>
      <c r="G33" s="50">
        <v>1998</v>
      </c>
    </row>
    <row r="34" spans="4:10" x14ac:dyDescent="0.25">
      <c r="D34" s="109" t="s">
        <v>72</v>
      </c>
      <c r="E34" s="113">
        <v>969</v>
      </c>
      <c r="F34" s="95">
        <v>2612</v>
      </c>
      <c r="G34" s="96">
        <v>5135</v>
      </c>
    </row>
    <row r="35" spans="4:10" x14ac:dyDescent="0.25">
      <c r="D35" s="110" t="s">
        <v>73</v>
      </c>
      <c r="E35" s="114">
        <v>919</v>
      </c>
      <c r="F35" s="72">
        <v>1306</v>
      </c>
      <c r="G35" s="97">
        <v>5567</v>
      </c>
    </row>
    <row r="36" spans="4:10" ht="16.5" thickBot="1" x14ac:dyDescent="0.3">
      <c r="D36" s="111" t="s">
        <v>74</v>
      </c>
      <c r="E36" s="115">
        <v>50</v>
      </c>
      <c r="F36" s="98">
        <v>351</v>
      </c>
      <c r="G36" s="99">
        <v>567</v>
      </c>
    </row>
    <row r="37" spans="4:10" x14ac:dyDescent="0.25">
      <c r="D37" s="100" t="s">
        <v>84</v>
      </c>
      <c r="E37" s="23">
        <v>557</v>
      </c>
      <c r="F37" s="11">
        <v>603</v>
      </c>
      <c r="G37" s="45">
        <v>2327</v>
      </c>
    </row>
    <row r="38" spans="4:10" ht="16.5" thickBot="1" x14ac:dyDescent="0.3">
      <c r="D38" s="101" t="s">
        <v>85</v>
      </c>
      <c r="E38" s="25">
        <v>779</v>
      </c>
      <c r="F38" s="17">
        <v>1422</v>
      </c>
      <c r="G38" s="102">
        <v>1604</v>
      </c>
    </row>
    <row r="39" spans="4:10" ht="16.5" thickBot="1" x14ac:dyDescent="0.3">
      <c r="D39" s="112" t="s">
        <v>130</v>
      </c>
      <c r="E39" s="116">
        <f>E34+E35+E36-E37-E38</f>
        <v>602</v>
      </c>
      <c r="F39" s="105">
        <f t="shared" ref="F39:G39" si="0">F34+F35+F36-F37-F38</f>
        <v>2244</v>
      </c>
      <c r="G39" s="106">
        <f t="shared" si="0"/>
        <v>7338</v>
      </c>
      <c r="H39" s="103">
        <f>F39/E39</f>
        <v>3.727574750830565</v>
      </c>
      <c r="I39" s="103">
        <f>G39/F39</f>
        <v>3.2700534759358288</v>
      </c>
      <c r="J39" s="103">
        <f>G39/E39</f>
        <v>12.189368770764119</v>
      </c>
    </row>
    <row r="40" spans="4:10" x14ac:dyDescent="0.25">
      <c r="D40" s="117" t="s">
        <v>22</v>
      </c>
      <c r="E40" s="118">
        <v>7545</v>
      </c>
      <c r="F40" s="119">
        <v>9995</v>
      </c>
      <c r="G40" s="120">
        <v>17738</v>
      </c>
    </row>
    <row r="41" spans="4:10" x14ac:dyDescent="0.25">
      <c r="D41" s="74" t="s">
        <v>136</v>
      </c>
      <c r="E41" s="72">
        <f>SUM(E42:E44)</f>
        <v>5672</v>
      </c>
      <c r="F41" s="72">
        <f>SUM(F42:F44)</f>
        <v>7760</v>
      </c>
      <c r="G41" s="72">
        <f>SUM(G42:G44)</f>
        <v>14977</v>
      </c>
      <c r="H41" s="103">
        <f>E41*(1+E45)</f>
        <v>6522.7999999999993</v>
      </c>
      <c r="I41" s="103">
        <f t="shared" ref="I41:J41" si="1">F41*(1+F45)</f>
        <v>8924</v>
      </c>
      <c r="J41" s="103">
        <f t="shared" si="1"/>
        <v>17223.55</v>
      </c>
    </row>
    <row r="42" spans="4:10" x14ac:dyDescent="0.25">
      <c r="D42" s="121" t="s">
        <v>96</v>
      </c>
      <c r="E42" s="72">
        <v>3247</v>
      </c>
      <c r="F42" s="72">
        <v>4480</v>
      </c>
      <c r="G42" s="72">
        <v>9637</v>
      </c>
    </row>
    <row r="43" spans="4:10" x14ac:dyDescent="0.25">
      <c r="D43" s="122" t="s">
        <v>108</v>
      </c>
      <c r="E43" s="72">
        <v>798</v>
      </c>
      <c r="F43" s="72">
        <v>961</v>
      </c>
      <c r="G43" s="72">
        <v>2427</v>
      </c>
    </row>
    <row r="44" spans="4:10" x14ac:dyDescent="0.25">
      <c r="D44" s="122" t="s">
        <v>98</v>
      </c>
      <c r="E44" s="72">
        <v>1627</v>
      </c>
      <c r="F44" s="72">
        <v>2319</v>
      </c>
      <c r="G44" s="72">
        <v>2913</v>
      </c>
    </row>
    <row r="45" spans="4:10" ht="16.5" thickBot="1" x14ac:dyDescent="0.3">
      <c r="D45" s="107" t="s">
        <v>129</v>
      </c>
      <c r="E45" s="108">
        <v>0.15</v>
      </c>
      <c r="F45" s="108">
        <v>0.15</v>
      </c>
      <c r="G45" s="108">
        <v>0.15</v>
      </c>
    </row>
    <row r="46" spans="4:10" x14ac:dyDescent="0.25">
      <c r="D46" s="123" t="s">
        <v>131</v>
      </c>
      <c r="E46" s="124">
        <f>(E39/(E40*(1+E45)))*365</f>
        <v>25.32399804074106</v>
      </c>
      <c r="F46" s="124">
        <f t="shared" ref="F46:G46" si="2">(F39/(F40*(1+F45)))*365</f>
        <v>71.25823781455945</v>
      </c>
      <c r="G46" s="125">
        <f t="shared" si="2"/>
        <v>131.30101428032182</v>
      </c>
    </row>
    <row r="47" spans="4:10" x14ac:dyDescent="0.25">
      <c r="D47" s="126" t="s">
        <v>132</v>
      </c>
      <c r="E47" s="104">
        <f>(E35/(E40*(1+E45)))*365</f>
        <v>38.659060131961851</v>
      </c>
      <c r="F47" s="104">
        <f t="shared" ref="F47:G47" si="3">(F35/(F40*(1+F45)))*365</f>
        <v>41.472040368010092</v>
      </c>
      <c r="G47" s="127">
        <f t="shared" si="3"/>
        <v>99.611985077480441</v>
      </c>
    </row>
    <row r="48" spans="4:10" x14ac:dyDescent="0.25">
      <c r="D48" s="126" t="s">
        <v>134</v>
      </c>
      <c r="E48" s="104">
        <f>((E37+E38)/(E41*(1+E45)))*365</f>
        <v>74.759305819586686</v>
      </c>
      <c r="F48" s="104">
        <f t="shared" ref="F48:G48" si="4">((F37+F38)/(F41*(1+F45)))*365</f>
        <v>82.824406095921105</v>
      </c>
      <c r="G48" s="127">
        <f t="shared" si="4"/>
        <v>83.305416130820888</v>
      </c>
      <c r="H48" t="s">
        <v>137</v>
      </c>
    </row>
    <row r="49" spans="4:7" ht="16.5" thickBot="1" x14ac:dyDescent="0.3">
      <c r="D49" s="128" t="s">
        <v>133</v>
      </c>
      <c r="E49" s="129">
        <f>(E34/E42)*365</f>
        <v>108.92670157068062</v>
      </c>
      <c r="F49" s="129">
        <f>(F34/F42)*365</f>
        <v>212.80803571428572</v>
      </c>
      <c r="G49" s="130">
        <f>(G34/G42)*365</f>
        <v>194.48739234201514</v>
      </c>
    </row>
  </sheetData>
  <mergeCells count="3">
    <mergeCell ref="B19:I19"/>
    <mergeCell ref="B7:I7"/>
    <mergeCell ref="B2:I2"/>
  </mergeCells>
  <pageMargins left="0.7" right="0.7" top="0.75" bottom="0.75" header="0.3" footer="0.3"/>
  <ignoredErrors>
    <ignoredError sqref="E41:G4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G49"/>
  <sheetViews>
    <sheetView topLeftCell="A8" zoomScale="85" zoomScaleNormal="85" workbookViewId="0">
      <selection activeCell="B37" sqref="B37"/>
    </sheetView>
  </sheetViews>
  <sheetFormatPr defaultRowHeight="15.75" outlineLevelRow="1" x14ac:dyDescent="0.25"/>
  <cols>
    <col min="1" max="1" width="4" customWidth="1"/>
    <col min="2" max="2" width="49.375" customWidth="1"/>
    <col min="3" max="5" width="9" style="147"/>
  </cols>
  <sheetData>
    <row r="2" spans="2:5" ht="28.5" x14ac:dyDescent="0.45">
      <c r="B2" s="197" t="s">
        <v>164</v>
      </c>
      <c r="C2" s="197"/>
      <c r="D2" s="197"/>
      <c r="E2" s="197"/>
    </row>
    <row r="4" spans="2:5" x14ac:dyDescent="0.25">
      <c r="B4" t="s">
        <v>173</v>
      </c>
    </row>
    <row r="5" spans="2:5" x14ac:dyDescent="0.25">
      <c r="B5" t="s">
        <v>174</v>
      </c>
    </row>
    <row r="7" spans="2:5" ht="16.5" thickBot="1" x14ac:dyDescent="0.3"/>
    <row r="8" spans="2:5" ht="24" thickBot="1" x14ac:dyDescent="0.4">
      <c r="B8" s="173" t="s">
        <v>154</v>
      </c>
      <c r="C8" s="174"/>
      <c r="D8" s="174"/>
      <c r="E8" s="175"/>
    </row>
    <row r="9" spans="2:5" ht="16.5" thickBot="1" x14ac:dyDescent="0.3">
      <c r="C9" s="5"/>
      <c r="D9" s="5"/>
      <c r="E9" s="5"/>
    </row>
    <row r="10" spans="2:5" ht="16.5" thickBot="1" x14ac:dyDescent="0.3">
      <c r="B10" s="31" t="s">
        <v>57</v>
      </c>
      <c r="C10" s="46">
        <v>1996</v>
      </c>
      <c r="D10" s="46">
        <v>1997</v>
      </c>
      <c r="E10" s="47">
        <v>1998</v>
      </c>
    </row>
    <row r="11" spans="2:5" x14ac:dyDescent="0.25">
      <c r="B11" s="29" t="s">
        <v>40</v>
      </c>
      <c r="C11" s="14">
        <v>1232</v>
      </c>
      <c r="D11" s="14">
        <v>1440</v>
      </c>
      <c r="E11" s="30">
        <v>1897</v>
      </c>
    </row>
    <row r="12" spans="2:5" x14ac:dyDescent="0.25">
      <c r="B12" s="13" t="s">
        <v>41</v>
      </c>
      <c r="C12" s="14">
        <v>207</v>
      </c>
      <c r="D12" s="14">
        <v>519</v>
      </c>
      <c r="E12" s="30">
        <v>653</v>
      </c>
    </row>
    <row r="13" spans="2:5" x14ac:dyDescent="0.25">
      <c r="B13" s="13" t="s">
        <v>42</v>
      </c>
      <c r="C13" s="14"/>
      <c r="D13" s="14">
        <v>74</v>
      </c>
      <c r="E13" s="30"/>
    </row>
    <row r="14" spans="2:5" x14ac:dyDescent="0.25">
      <c r="B14" s="13" t="s">
        <v>44</v>
      </c>
      <c r="C14" s="14">
        <v>1439</v>
      </c>
      <c r="D14" s="14">
        <v>2033</v>
      </c>
      <c r="E14" s="30">
        <v>2550</v>
      </c>
    </row>
    <row r="15" spans="2:5" hidden="1" outlineLevel="1" x14ac:dyDescent="0.25">
      <c r="B15" s="29" t="s">
        <v>43</v>
      </c>
      <c r="C15" s="14">
        <v>672</v>
      </c>
      <c r="D15" s="14">
        <v>1643</v>
      </c>
      <c r="E15" s="30">
        <v>2523</v>
      </c>
    </row>
    <row r="16" spans="2:5" hidden="1" outlineLevel="1" x14ac:dyDescent="0.25">
      <c r="B16" s="13" t="s">
        <v>45</v>
      </c>
      <c r="C16" s="14">
        <v>19</v>
      </c>
      <c r="D16" s="14">
        <v>688</v>
      </c>
      <c r="E16" s="30">
        <v>4477</v>
      </c>
    </row>
    <row r="17" spans="2:7" hidden="1" outlineLevel="1" x14ac:dyDescent="0.25">
      <c r="B17" s="13" t="s">
        <v>46</v>
      </c>
      <c r="C17" s="14">
        <v>679</v>
      </c>
      <c r="D17" s="14">
        <v>689</v>
      </c>
      <c r="E17" s="30">
        <v>1906</v>
      </c>
    </row>
    <row r="18" spans="2:7" ht="16.5" collapsed="1" thickBot="1" x14ac:dyDescent="0.3">
      <c r="B18" s="13" t="s">
        <v>47</v>
      </c>
      <c r="C18" s="14">
        <v>12</v>
      </c>
      <c r="D18" s="14">
        <v>1642</v>
      </c>
      <c r="E18" s="30">
        <v>5094</v>
      </c>
      <c r="F18" s="1">
        <f>D18/D14</f>
        <v>0.80767338908017705</v>
      </c>
      <c r="G18" s="1">
        <f>(D18-C18)/C18</f>
        <v>135.83333333333334</v>
      </c>
    </row>
    <row r="19" spans="2:7" ht="32.25" thickBot="1" x14ac:dyDescent="0.3">
      <c r="B19" s="146" t="s">
        <v>48</v>
      </c>
      <c r="C19" s="8">
        <f>C14-C18</f>
        <v>1427</v>
      </c>
      <c r="D19" s="8">
        <f t="shared" ref="D19:E19" si="0">D14-D18</f>
        <v>391</v>
      </c>
      <c r="E19" s="44">
        <f t="shared" si="0"/>
        <v>-2544</v>
      </c>
      <c r="F19" t="s">
        <v>146</v>
      </c>
    </row>
    <row r="20" spans="2:7" hidden="1" outlineLevel="1" x14ac:dyDescent="0.25">
      <c r="B20" s="29" t="s">
        <v>49</v>
      </c>
      <c r="C20" s="14"/>
      <c r="D20" s="14">
        <v>113</v>
      </c>
      <c r="E20" s="30"/>
    </row>
    <row r="21" spans="2:7" ht="16.5" hidden="1" outlineLevel="1" thickBot="1" x14ac:dyDescent="0.3">
      <c r="B21" s="13" t="s">
        <v>50</v>
      </c>
      <c r="C21" s="14">
        <v>397</v>
      </c>
      <c r="D21" s="14">
        <v>1628</v>
      </c>
      <c r="E21" s="30">
        <v>1323</v>
      </c>
    </row>
    <row r="22" spans="2:7" ht="16.5" collapsed="1" thickBot="1" x14ac:dyDescent="0.3">
      <c r="B22" s="26" t="s">
        <v>144</v>
      </c>
      <c r="C22" s="8">
        <f>C20-C21</f>
        <v>-397</v>
      </c>
      <c r="D22" s="8">
        <f>D20-D21</f>
        <v>-1515</v>
      </c>
      <c r="E22" s="44">
        <f>E20-E21</f>
        <v>-1323</v>
      </c>
    </row>
    <row r="23" spans="2:7" ht="16.5" thickBot="1" x14ac:dyDescent="0.3">
      <c r="B23" s="7" t="s">
        <v>142</v>
      </c>
      <c r="C23" s="8">
        <f>C19+C22</f>
        <v>1030</v>
      </c>
      <c r="D23" s="8">
        <f t="shared" ref="D23:E23" si="1">D19+D22</f>
        <v>-1124</v>
      </c>
      <c r="E23" s="44">
        <f t="shared" si="1"/>
        <v>-3867</v>
      </c>
      <c r="F23" t="s">
        <v>147</v>
      </c>
    </row>
    <row r="24" spans="2:7" x14ac:dyDescent="0.25">
      <c r="B24" s="13" t="s">
        <v>52</v>
      </c>
      <c r="C24" s="14">
        <v>0</v>
      </c>
      <c r="D24" s="14">
        <v>1975</v>
      </c>
      <c r="E24" s="30">
        <v>49</v>
      </c>
    </row>
    <row r="25" spans="2:7" x14ac:dyDescent="0.25">
      <c r="B25" s="13" t="s">
        <v>53</v>
      </c>
      <c r="C25" s="14">
        <v>400</v>
      </c>
      <c r="D25" s="14">
        <v>440</v>
      </c>
      <c r="E25" s="30">
        <v>496</v>
      </c>
    </row>
    <row r="26" spans="2:7" ht="16.5" thickBot="1" x14ac:dyDescent="0.3">
      <c r="B26" s="13" t="s">
        <v>143</v>
      </c>
      <c r="C26" s="14">
        <v>630</v>
      </c>
      <c r="D26" s="14">
        <v>411</v>
      </c>
      <c r="E26" s="30">
        <v>-4313</v>
      </c>
    </row>
    <row r="27" spans="2:7" x14ac:dyDescent="0.25">
      <c r="B27" s="27" t="s">
        <v>55</v>
      </c>
      <c r="C27" s="11">
        <v>-465</v>
      </c>
      <c r="D27" s="11">
        <v>-1095</v>
      </c>
      <c r="E27" s="45">
        <v>-1506</v>
      </c>
      <c r="F27" t="s">
        <v>145</v>
      </c>
    </row>
    <row r="28" spans="2:7" ht="16.5" thickBot="1" x14ac:dyDescent="0.3">
      <c r="B28" s="28" t="s">
        <v>56</v>
      </c>
      <c r="C28" s="17">
        <v>-1095</v>
      </c>
      <c r="D28" s="17">
        <v>-1506</v>
      </c>
      <c r="E28" s="102">
        <v>2807</v>
      </c>
    </row>
    <row r="30" spans="2:7" x14ac:dyDescent="0.25">
      <c r="B30" t="s">
        <v>148</v>
      </c>
    </row>
    <row r="31" spans="2:7" x14ac:dyDescent="0.25">
      <c r="B31" t="s">
        <v>149</v>
      </c>
    </row>
    <row r="32" spans="2:7" x14ac:dyDescent="0.25">
      <c r="B32" t="s">
        <v>152</v>
      </c>
    </row>
    <row r="33" spans="2:7" x14ac:dyDescent="0.25">
      <c r="B33" t="s">
        <v>150</v>
      </c>
    </row>
    <row r="34" spans="2:7" x14ac:dyDescent="0.25">
      <c r="B34" t="s">
        <v>151</v>
      </c>
    </row>
    <row r="35" spans="2:7" x14ac:dyDescent="0.25">
      <c r="B35" t="s">
        <v>153</v>
      </c>
    </row>
    <row r="37" spans="2:7" ht="16.5" thickBot="1" x14ac:dyDescent="0.3"/>
    <row r="38" spans="2:7" ht="24" thickBot="1" x14ac:dyDescent="0.4">
      <c r="B38" s="173" t="s">
        <v>155</v>
      </c>
      <c r="C38" s="174"/>
      <c r="D38" s="174"/>
      <c r="E38" s="175"/>
    </row>
    <row r="40" spans="2:7" x14ac:dyDescent="0.25">
      <c r="B40" s="71"/>
      <c r="C40" s="80">
        <v>1996</v>
      </c>
      <c r="D40" s="80">
        <v>1997</v>
      </c>
      <c r="E40" s="80">
        <v>1998</v>
      </c>
    </row>
    <row r="41" spans="2:7" x14ac:dyDescent="0.25">
      <c r="B41" s="71" t="s">
        <v>156</v>
      </c>
      <c r="C41" s="148">
        <f>C28</f>
        <v>-1095</v>
      </c>
      <c r="D41" s="148">
        <f t="shared" ref="D41:E41" si="2">D28</f>
        <v>-1506</v>
      </c>
      <c r="E41" s="148">
        <f t="shared" si="2"/>
        <v>2807</v>
      </c>
    </row>
    <row r="42" spans="2:7" x14ac:dyDescent="0.25">
      <c r="B42" s="71" t="s">
        <v>116</v>
      </c>
      <c r="C42" s="148">
        <f>Résultat!C12</f>
        <v>1873</v>
      </c>
      <c r="D42" s="148">
        <f>Résultat!E12</f>
        <v>2235</v>
      </c>
      <c r="E42" s="148">
        <f>Résultat!G12</f>
        <v>2761</v>
      </c>
      <c r="G42" s="147"/>
    </row>
    <row r="43" spans="2:7" x14ac:dyDescent="0.25">
      <c r="B43" s="73" t="s">
        <v>157</v>
      </c>
      <c r="C43" s="148">
        <f>C12</f>
        <v>207</v>
      </c>
      <c r="D43" s="148">
        <f t="shared" ref="D43:E43" si="3">D12</f>
        <v>519</v>
      </c>
      <c r="E43" s="148">
        <f t="shared" si="3"/>
        <v>653</v>
      </c>
    </row>
    <row r="44" spans="2:7" x14ac:dyDescent="0.25">
      <c r="B44" s="73" t="s">
        <v>158</v>
      </c>
      <c r="C44" s="148">
        <f>C42+C43</f>
        <v>2080</v>
      </c>
      <c r="D44" s="148">
        <f t="shared" ref="D44:E44" si="4">D42+D43</f>
        <v>2754</v>
      </c>
      <c r="E44" s="148">
        <f t="shared" si="4"/>
        <v>3414</v>
      </c>
    </row>
    <row r="45" spans="2:7" x14ac:dyDescent="0.25">
      <c r="B45" s="71" t="s">
        <v>159</v>
      </c>
      <c r="C45" s="149">
        <f>C41/C44</f>
        <v>-0.52644230769230771</v>
      </c>
      <c r="D45" s="149">
        <f t="shared" ref="D45:E45" si="5">D41/D44</f>
        <v>-0.54684095860566451</v>
      </c>
      <c r="E45" s="149">
        <f t="shared" si="5"/>
        <v>0.82220269478617458</v>
      </c>
    </row>
    <row r="47" spans="2:7" x14ac:dyDescent="0.25">
      <c r="B47" t="s">
        <v>160</v>
      </c>
    </row>
    <row r="48" spans="2:7" x14ac:dyDescent="0.25">
      <c r="B48" t="s">
        <v>161</v>
      </c>
    </row>
    <row r="49" spans="2:2" x14ac:dyDescent="0.25">
      <c r="B49" t="s">
        <v>162</v>
      </c>
    </row>
  </sheetData>
  <mergeCells count="3">
    <mergeCell ref="B8:E8"/>
    <mergeCell ref="B38:E38"/>
    <mergeCell ref="B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Marché</vt:lpstr>
      <vt:lpstr>Entreprise</vt:lpstr>
      <vt:lpstr>Résultat</vt:lpstr>
      <vt:lpstr>Bilan</vt:lpstr>
      <vt:lpstr>Trésorerie</vt:lpstr>
      <vt:lpstr>Annexe</vt:lpstr>
      <vt:lpstr>Analyse des marges</vt:lpstr>
      <vt:lpstr>Analyse des investissements</vt:lpstr>
      <vt:lpstr>Analyse des financements</vt:lpstr>
      <vt:lpstr>Analyse des rentabilités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elafrit</cp:lastModifiedBy>
  <dcterms:created xsi:type="dcterms:W3CDTF">2017-05-05T18:06:05Z</dcterms:created>
  <dcterms:modified xsi:type="dcterms:W3CDTF">2017-06-25T21:53:39Z</dcterms:modified>
</cp:coreProperties>
</file>