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Google Drive\01 - Formations\04 - HEC\ICCF\83-Etudes de cas\03-Devoirs\Cas GEA\"/>
    </mc:Choice>
  </mc:AlternateContent>
  <bookViews>
    <workbookView xWindow="885" yWindow="795" windowWidth="27615" windowHeight="16155" tabRatio="500"/>
  </bookViews>
  <sheets>
    <sheet name="GEA éléments financiers" sheetId="1" r:id="rId1"/>
    <sheet name="Sheet1" sheetId="2" r:id="rId2"/>
  </sheets>
  <calcPr calcId="15251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5" i="1"/>
  <c r="F16" i="1"/>
  <c r="F18" i="1"/>
  <c r="F19" i="1"/>
  <c r="F22" i="1"/>
  <c r="F23" i="1"/>
  <c r="F26" i="1"/>
  <c r="F27" i="1"/>
  <c r="F29" i="1"/>
  <c r="F143" i="1"/>
  <c r="E11" i="1"/>
  <c r="E12" i="1"/>
  <c r="E13" i="1"/>
  <c r="E15" i="1"/>
  <c r="E16" i="1"/>
  <c r="E18" i="1"/>
  <c r="E19" i="1"/>
  <c r="E23" i="1"/>
  <c r="E25" i="1"/>
  <c r="E27" i="1"/>
  <c r="E29" i="1"/>
  <c r="E143" i="1"/>
  <c r="F76" i="1"/>
  <c r="F135" i="1"/>
  <c r="F144" i="1"/>
  <c r="E76" i="1"/>
  <c r="E135" i="1"/>
  <c r="E144" i="1"/>
  <c r="F145" i="1"/>
  <c r="D11" i="1"/>
  <c r="D12" i="1"/>
  <c r="D13" i="1"/>
  <c r="D15" i="1"/>
  <c r="D16" i="1"/>
  <c r="D18" i="1"/>
  <c r="D19" i="1"/>
  <c r="D23" i="1"/>
  <c r="D27" i="1"/>
  <c r="D29" i="1"/>
  <c r="D143" i="1"/>
  <c r="D76" i="1"/>
  <c r="D135" i="1"/>
  <c r="D144" i="1"/>
  <c r="E145" i="1"/>
  <c r="C11" i="1"/>
  <c r="C12" i="1"/>
  <c r="C13" i="1"/>
  <c r="C15" i="1"/>
  <c r="C16" i="1"/>
  <c r="C18" i="1"/>
  <c r="C19" i="1"/>
  <c r="C23" i="1"/>
  <c r="C27" i="1"/>
  <c r="C29" i="1"/>
  <c r="C143" i="1"/>
  <c r="C76" i="1"/>
  <c r="C135" i="1"/>
  <c r="C144" i="1"/>
  <c r="D145" i="1"/>
  <c r="C150" i="1"/>
  <c r="F134" i="1"/>
  <c r="C134" i="1"/>
  <c r="C149" i="1"/>
  <c r="D8" i="1"/>
  <c r="E8" i="1"/>
  <c r="F8" i="1"/>
  <c r="F110" i="1"/>
  <c r="F142" i="1"/>
  <c r="E110" i="1"/>
  <c r="E142" i="1"/>
  <c r="D110" i="1"/>
  <c r="D142" i="1"/>
  <c r="C110" i="1"/>
  <c r="C142" i="1"/>
  <c r="F139" i="1"/>
  <c r="E139" i="1"/>
  <c r="D139" i="1"/>
  <c r="C139" i="1"/>
  <c r="F80" i="1"/>
  <c r="F140" i="1"/>
  <c r="E80" i="1"/>
  <c r="E134" i="1"/>
  <c r="E140" i="1"/>
  <c r="D80" i="1"/>
  <c r="D134" i="1"/>
  <c r="D140" i="1"/>
  <c r="C80" i="1"/>
  <c r="C140" i="1"/>
  <c r="F79" i="1"/>
  <c r="F81" i="1"/>
  <c r="D117" i="1"/>
  <c r="E117" i="1"/>
  <c r="F117" i="1"/>
  <c r="C117" i="1"/>
  <c r="J25" i="1"/>
  <c r="K25" i="1"/>
  <c r="L25" i="1"/>
  <c r="M25" i="1"/>
  <c r="J26" i="1"/>
  <c r="K26" i="1"/>
  <c r="L26" i="1"/>
  <c r="M26" i="1"/>
  <c r="M10" i="1"/>
  <c r="J10" i="1"/>
  <c r="K10" i="1"/>
  <c r="L10" i="1"/>
  <c r="J11" i="1"/>
  <c r="K11" i="1"/>
  <c r="L11" i="1"/>
  <c r="I10" i="1"/>
  <c r="I11" i="1"/>
  <c r="C79" i="1"/>
  <c r="C66" i="1"/>
  <c r="C64" i="1"/>
  <c r="D45" i="1"/>
  <c r="E45" i="1"/>
  <c r="F45" i="1"/>
  <c r="C45" i="1"/>
  <c r="C37" i="1"/>
  <c r="D37" i="1"/>
  <c r="E37" i="1"/>
  <c r="D60" i="1"/>
  <c r="D79" i="1"/>
  <c r="D81" i="1"/>
  <c r="D66" i="1"/>
  <c r="D64" i="1"/>
  <c r="D67" i="1"/>
  <c r="E64" i="1"/>
  <c r="E63" i="1"/>
  <c r="F64" i="1"/>
  <c r="F63" i="1"/>
  <c r="F37" i="1"/>
  <c r="D82" i="1"/>
  <c r="D129" i="1"/>
  <c r="C98" i="1"/>
  <c r="D98" i="1"/>
  <c r="E98" i="1"/>
  <c r="C99" i="1"/>
  <c r="D99" i="1"/>
  <c r="E99" i="1"/>
  <c r="F99" i="1"/>
  <c r="E66" i="1"/>
  <c r="E67" i="1"/>
  <c r="E96" i="1"/>
  <c r="F65" i="1"/>
  <c r="F66" i="1"/>
  <c r="C92" i="1"/>
  <c r="D92" i="1"/>
  <c r="E92" i="1"/>
  <c r="F92" i="1"/>
  <c r="J13" i="1"/>
  <c r="L13" i="1"/>
  <c r="C89" i="1"/>
  <c r="D89" i="1"/>
  <c r="E89" i="1"/>
  <c r="F89" i="1"/>
  <c r="E79" i="1"/>
  <c r="F70" i="1"/>
  <c r="E70" i="1"/>
  <c r="C81" i="1"/>
  <c r="I26" i="1"/>
  <c r="J24" i="1"/>
  <c r="L12" i="1"/>
  <c r="L14" i="1"/>
  <c r="L16" i="1"/>
  <c r="L17" i="1"/>
  <c r="L18" i="1"/>
  <c r="L20" i="1"/>
  <c r="L21" i="1"/>
  <c r="L22" i="1"/>
  <c r="L24" i="1"/>
  <c r="L28" i="1"/>
  <c r="L9" i="1"/>
  <c r="K9" i="1"/>
  <c r="K12" i="1"/>
  <c r="J9" i="1"/>
  <c r="J12" i="1"/>
  <c r="D70" i="1"/>
  <c r="C70" i="1"/>
  <c r="F132" i="1"/>
  <c r="E132" i="1"/>
  <c r="D132" i="1"/>
  <c r="C132" i="1"/>
  <c r="F60" i="1"/>
  <c r="E60" i="1"/>
  <c r="C60" i="1"/>
  <c r="D122" i="1"/>
  <c r="C122" i="1"/>
  <c r="D95" i="1"/>
  <c r="D87" i="1"/>
  <c r="C95" i="1"/>
  <c r="C104" i="1"/>
  <c r="F100" i="1"/>
  <c r="E100" i="1"/>
  <c r="D100" i="1"/>
  <c r="C100" i="1"/>
  <c r="F97" i="1"/>
  <c r="E97" i="1"/>
  <c r="D97" i="1"/>
  <c r="C97" i="1"/>
  <c r="C53" i="1"/>
  <c r="B53" i="1"/>
  <c r="C35" i="1"/>
  <c r="B35" i="1"/>
  <c r="I31" i="1"/>
  <c r="I29" i="1"/>
  <c r="M28" i="1"/>
  <c r="K28" i="1"/>
  <c r="J28" i="1"/>
  <c r="I28" i="1"/>
  <c r="I27" i="1"/>
  <c r="M24" i="1"/>
  <c r="K24" i="1"/>
  <c r="I24" i="1"/>
  <c r="I23" i="1"/>
  <c r="K22" i="1"/>
  <c r="J22" i="1"/>
  <c r="I22" i="1"/>
  <c r="M21" i="1"/>
  <c r="K21" i="1"/>
  <c r="J21" i="1"/>
  <c r="I21" i="1"/>
  <c r="I19" i="1"/>
  <c r="M18" i="1"/>
  <c r="K18" i="1"/>
  <c r="J18" i="1"/>
  <c r="I18" i="1"/>
  <c r="M17" i="1"/>
  <c r="K17" i="1"/>
  <c r="J17" i="1"/>
  <c r="I17" i="1"/>
  <c r="M16" i="1"/>
  <c r="K16" i="1"/>
  <c r="J16" i="1"/>
  <c r="I16" i="1"/>
  <c r="K15" i="1"/>
  <c r="J15" i="1"/>
  <c r="I15" i="1"/>
  <c r="M14" i="1"/>
  <c r="K14" i="1"/>
  <c r="J14" i="1"/>
  <c r="I14" i="1"/>
  <c r="I13" i="1"/>
  <c r="M12" i="1"/>
  <c r="I12" i="1"/>
  <c r="I9" i="1"/>
  <c r="J8" i="1"/>
  <c r="I6" i="1"/>
  <c r="C82" i="1"/>
  <c r="F106" i="1"/>
  <c r="C87" i="1"/>
  <c r="F116" i="1"/>
  <c r="F107" i="1"/>
  <c r="D106" i="1"/>
  <c r="K13" i="1"/>
  <c r="D50" i="1"/>
  <c r="C106" i="1"/>
  <c r="C129" i="1"/>
  <c r="C116" i="1"/>
  <c r="C107" i="1"/>
  <c r="C50" i="1"/>
  <c r="E81" i="1"/>
  <c r="E116" i="1"/>
  <c r="E107" i="1"/>
  <c r="K8" i="1"/>
  <c r="D53" i="1"/>
  <c r="D116" i="1"/>
  <c r="D107" i="1"/>
  <c r="M22" i="1"/>
  <c r="E40" i="1"/>
  <c r="D35" i="1"/>
  <c r="C136" i="1"/>
  <c r="E71" i="1"/>
  <c r="D104" i="1"/>
  <c r="D90" i="1"/>
  <c r="E90" i="1"/>
  <c r="L15" i="1"/>
  <c r="F67" i="1"/>
  <c r="F136" i="1"/>
  <c r="C67" i="1"/>
  <c r="C40" i="1"/>
  <c r="F98" i="1"/>
  <c r="F82" i="1"/>
  <c r="C90" i="1"/>
  <c r="C130" i="1"/>
  <c r="E82" i="1"/>
  <c r="E129" i="1"/>
  <c r="E106" i="1"/>
  <c r="E130" i="1"/>
  <c r="E50" i="1"/>
  <c r="D130" i="1"/>
  <c r="E136" i="1"/>
  <c r="D71" i="1"/>
  <c r="D113" i="1"/>
  <c r="F50" i="1"/>
  <c r="D105" i="1"/>
  <c r="D40" i="1"/>
  <c r="D136" i="1"/>
  <c r="D96" i="1"/>
  <c r="M13" i="1"/>
  <c r="F129" i="1"/>
  <c r="J19" i="1"/>
  <c r="F96" i="1"/>
  <c r="F40" i="1"/>
  <c r="K19" i="1"/>
  <c r="F71" i="1"/>
  <c r="C96" i="1"/>
  <c r="E113" i="1"/>
  <c r="L19" i="1"/>
  <c r="C105" i="1"/>
  <c r="E105" i="1"/>
  <c r="E122" i="1"/>
  <c r="E95" i="1"/>
  <c r="E35" i="1"/>
  <c r="E53" i="1"/>
  <c r="L8" i="1"/>
  <c r="C71" i="1"/>
  <c r="M15" i="1"/>
  <c r="F90" i="1"/>
  <c r="C113" i="1"/>
  <c r="E104" i="1"/>
  <c r="E87" i="1"/>
  <c r="D91" i="1"/>
  <c r="K23" i="1"/>
  <c r="F113" i="1"/>
  <c r="F53" i="1"/>
  <c r="F122" i="1"/>
  <c r="F95" i="1"/>
  <c r="M8" i="1"/>
  <c r="F35" i="1"/>
  <c r="L23" i="1"/>
  <c r="E91" i="1"/>
  <c r="C91" i="1"/>
  <c r="J23" i="1"/>
  <c r="F130" i="1"/>
  <c r="M19" i="1"/>
  <c r="F105" i="1"/>
  <c r="C127" i="1"/>
  <c r="J27" i="1"/>
  <c r="C119" i="1"/>
  <c r="L27" i="1"/>
  <c r="E119" i="1"/>
  <c r="E127" i="1"/>
  <c r="D127" i="1"/>
  <c r="D119" i="1"/>
  <c r="K27" i="1"/>
  <c r="F104" i="1"/>
  <c r="F87" i="1"/>
  <c r="D128" i="1"/>
  <c r="D133" i="1"/>
  <c r="E133" i="1"/>
  <c r="E128" i="1"/>
  <c r="C128" i="1"/>
  <c r="C133" i="1"/>
  <c r="F91" i="1"/>
  <c r="M23" i="1"/>
  <c r="E115" i="1"/>
  <c r="E111" i="1"/>
  <c r="E114" i="1"/>
  <c r="C115" i="1"/>
  <c r="C111" i="1"/>
  <c r="C114" i="1"/>
  <c r="D115" i="1"/>
  <c r="D111" i="1"/>
  <c r="D114" i="1"/>
  <c r="K29" i="1"/>
  <c r="D36" i="1"/>
  <c r="L29" i="1"/>
  <c r="E36" i="1"/>
  <c r="J29" i="1"/>
  <c r="C36" i="1"/>
  <c r="E118" i="1"/>
  <c r="C118" i="1"/>
  <c r="F127" i="1"/>
  <c r="M27" i="1"/>
  <c r="F119" i="1"/>
  <c r="D39" i="1"/>
  <c r="E39" i="1"/>
  <c r="C39" i="1"/>
  <c r="D118" i="1"/>
  <c r="F128" i="1"/>
  <c r="F133" i="1"/>
  <c r="M29" i="1"/>
  <c r="F36" i="1"/>
  <c r="F115" i="1"/>
  <c r="F111" i="1"/>
  <c r="F114" i="1"/>
  <c r="E41" i="1"/>
  <c r="C41" i="1"/>
  <c r="D41" i="1"/>
  <c r="F118" i="1"/>
  <c r="F39" i="1"/>
  <c r="D46" i="1"/>
  <c r="D49" i="1"/>
  <c r="C46" i="1"/>
  <c r="C49" i="1"/>
  <c r="E46" i="1"/>
  <c r="E49" i="1"/>
  <c r="F41" i="1"/>
  <c r="F46" i="1"/>
  <c r="F49" i="1"/>
</calcChain>
</file>

<file path=xl/sharedStrings.xml><?xml version="1.0" encoding="utf-8"?>
<sst xmlns="http://schemas.openxmlformats.org/spreadsheetml/2006/main" count="153" uniqueCount="142">
  <si>
    <t xml:space="preserve"> </t>
  </si>
  <si>
    <t>Compte de résultat</t>
  </si>
  <si>
    <t>Compte de résultat en %</t>
  </si>
  <si>
    <t>En % du chiffre d'affaires</t>
  </si>
  <si>
    <t>Chiffre d'affaires</t>
  </si>
  <si>
    <t>= Marge brute</t>
  </si>
  <si>
    <t>- Charges externes</t>
  </si>
  <si>
    <t>= Valeur ajoutée</t>
  </si>
  <si>
    <t>- Charges de personnel</t>
  </si>
  <si>
    <t xml:space="preserve">- Impôts et taxes </t>
  </si>
  <si>
    <t>+/- Autres produits/charges</t>
  </si>
  <si>
    <t>= Excédent brut d'exploitation</t>
  </si>
  <si>
    <t>Part des depreciations passée en autres charges</t>
  </si>
  <si>
    <t>- Dotations aux amortissements et provisions nets (rep.)</t>
  </si>
  <si>
    <t xml:space="preserve">- Dotations aux amortissements </t>
  </si>
  <si>
    <t>= Résultat d'exploitation</t>
  </si>
  <si>
    <t>+ Eléments non récurrents</t>
  </si>
  <si>
    <t>= Résultat avant impôt</t>
  </si>
  <si>
    <t xml:space="preserve">- Impôt sur les bénéfices </t>
  </si>
  <si>
    <t>= Résultat net</t>
  </si>
  <si>
    <t>Tableau des flux de trésorerie</t>
  </si>
  <si>
    <t>Résultat net</t>
  </si>
  <si>
    <t>+/- Charges/produits sans incidence sur la trésorerie</t>
  </si>
  <si>
    <t>= Capacité d’autofinancement</t>
  </si>
  <si>
    <t>- Variation du besoin en fonds de roulement</t>
  </si>
  <si>
    <t>= Flux d’exploitation (1)</t>
  </si>
  <si>
    <t xml:space="preserve">- Investissements industriels </t>
  </si>
  <si>
    <t>+ Produits nets des cessions</t>
  </si>
  <si>
    <t>= Flux d'investissement (2)</t>
  </si>
  <si>
    <t>Flux de trésorerie disponible après charges financières (1)+(2)</t>
  </si>
  <si>
    <t>+ Augmentation (réduction) de capital</t>
  </si>
  <si>
    <t>- Dividendes</t>
  </si>
  <si>
    <t>= Réduction (augmentation) de l’endettement net</t>
  </si>
  <si>
    <t>Vérification</t>
  </si>
  <si>
    <t>Bilan</t>
  </si>
  <si>
    <t>Goodwill</t>
  </si>
  <si>
    <t>+ Autres immobilisations incorporelles</t>
  </si>
  <si>
    <t>+ Immobilisations corporelles</t>
  </si>
  <si>
    <t>+ Immobilisations financières</t>
  </si>
  <si>
    <t>+ Sociétés mise en équivalence</t>
  </si>
  <si>
    <t>= Actifs immobilisés (1)</t>
  </si>
  <si>
    <t>+ Autres actifs d'exploitation</t>
  </si>
  <si>
    <t>- Fournisseurs</t>
  </si>
  <si>
    <t>- Autres dettes d'exploitation</t>
  </si>
  <si>
    <t>= Besoin en fonds de roulement (2)</t>
  </si>
  <si>
    <t>- Passifs hors exploitation</t>
  </si>
  <si>
    <t>= BFR hors exploitation</t>
  </si>
  <si>
    <t>Actif économique = (1)+(2)</t>
  </si>
  <si>
    <t>Capitaux propres part du groupe</t>
  </si>
  <si>
    <t>+ Intérêts minoritaires</t>
  </si>
  <si>
    <t>- Impôts différés actifs</t>
  </si>
  <si>
    <t>+ Impôts différés passifs</t>
  </si>
  <si>
    <t>= Capitaux propres (3)</t>
  </si>
  <si>
    <t>+ Dettes financières CT</t>
  </si>
  <si>
    <t>- Trésorerie et équivalents de trésorerie</t>
  </si>
  <si>
    <t>= Endettement bancaire et financier net (5)</t>
  </si>
  <si>
    <t>Productivité</t>
  </si>
  <si>
    <t>Chiffre d'affaires / effectifs en milliers d'EUR</t>
  </si>
  <si>
    <t>Valeur ajoutée / effectifs en milliers d'EUR</t>
  </si>
  <si>
    <t>Résultat d'exploitation / effectifs en milliers d'EUR</t>
  </si>
  <si>
    <t>Salaire moyen brut, charges patronales comprises en milliers d'EUR</t>
  </si>
  <si>
    <t>Rotation du BFR d'exploitation</t>
  </si>
  <si>
    <t>BFR d'exploitation / Chiffre d'affaires, en jours de chiffre d'affaires</t>
  </si>
  <si>
    <t>Délai clients en jours de CA</t>
  </si>
  <si>
    <t>Fournisseurs en jours d'achat</t>
  </si>
  <si>
    <t>Taux de TVA</t>
  </si>
  <si>
    <t>Capacité d'endettement</t>
  </si>
  <si>
    <t>Dettes nettes / Excédent brut d'exploitation</t>
  </si>
  <si>
    <t>Dettes nettes / Capitalisation boursière</t>
  </si>
  <si>
    <t>Dettes nettes / Capitaux propres comptables</t>
  </si>
  <si>
    <t>Rentabilités</t>
  </si>
  <si>
    <t xml:space="preserve">Résultat d'exploitation après impôt sur les sociétés / Chiffre d'affaires </t>
  </si>
  <si>
    <t>x</t>
  </si>
  <si>
    <t>Chiffre d'affaires / Actif économique</t>
  </si>
  <si>
    <t>= Rentabilité économique après impôt</t>
  </si>
  <si>
    <t>Levier financier (Endettement bancaire et financier net / Capitaux propres)</t>
  </si>
  <si>
    <t>Part de la rentabilité des capitaux propres expliquée par l'effet de levier</t>
  </si>
  <si>
    <t>Taux d'impôt sur les sociétés</t>
  </si>
  <si>
    <t>Paramètres boursiers</t>
  </si>
  <si>
    <t>Cours le plus haut en EUR</t>
  </si>
  <si>
    <t>Cours le plus bas en EUR</t>
  </si>
  <si>
    <t>Dernier cours de l'année en EUR</t>
  </si>
  <si>
    <t>Nombre d'actions en millions</t>
  </si>
  <si>
    <t>Bénéfice net courant (part du groupe) par action en EUR</t>
  </si>
  <si>
    <t>PER</t>
  </si>
  <si>
    <t>Multiple d'excédent brut d'exploitation</t>
  </si>
  <si>
    <t>Multiple de résultat d'exploitation</t>
  </si>
  <si>
    <t>Dividende par action en EUR</t>
  </si>
  <si>
    <t>Rendement en %</t>
  </si>
  <si>
    <t>Taux de distribution en %</t>
  </si>
  <si>
    <t>Capitalisation boursière en millions d'EUR</t>
  </si>
  <si>
    <t>+ Dotation aux amortissements</t>
  </si>
  <si>
    <t>ANALYSE FINANCIERE - GEA</t>
  </si>
  <si>
    <t>Clôture des comptes le 30 septembre</t>
  </si>
  <si>
    <t>Production totale</t>
  </si>
  <si>
    <t xml:space="preserve">- Frais financiers </t>
  </si>
  <si>
    <t xml:space="preserve"> +/- Production stockée et immobilisée</t>
  </si>
  <si>
    <t>+ Produits financiers</t>
  </si>
  <si>
    <t>+ Concessions, brevets, licences</t>
  </si>
  <si>
    <t>En milliers d'euros</t>
  </si>
  <si>
    <t>+ Clients - Avances et acomptes reçus sur commandes en cours</t>
  </si>
  <si>
    <t xml:space="preserve">Actifs hors exploitation </t>
  </si>
  <si>
    <t>- Consommation de matière</t>
  </si>
  <si>
    <t>Engagements de retraite du personnel</t>
  </si>
  <si>
    <t>+ Dettes financières LT</t>
  </si>
  <si>
    <t>Capitaux investis = (3)+(4)</t>
  </si>
  <si>
    <t xml:space="preserve">Effectifs consolidés </t>
  </si>
  <si>
    <t>Stocks de matières premières et marchandises</t>
  </si>
  <si>
    <t xml:space="preserve">+ Stocks de produits finis et encours </t>
  </si>
  <si>
    <t>Stocks de matières premières et marchandises en jours de consommation de matières premières</t>
  </si>
  <si>
    <t>Coût de la dette totale après impôt sur les sociétés</t>
  </si>
  <si>
    <t>- Investissements financiers nets</t>
  </si>
  <si>
    <t>Stocks de produits finis en encours en pourcentage du chiffre d'affaires</t>
  </si>
  <si>
    <t>Capitaux propres comptables en millions d'EUR</t>
  </si>
  <si>
    <t>Capitalisation boursière/capitaux propres comptables</t>
  </si>
  <si>
    <t xml:space="preserve">Rentabilité des capitaux propres après impôt, hors éléments non récurrents </t>
  </si>
  <si>
    <t>Q2 : Part de la trésorerie dans la capitalisation boursière</t>
  </si>
  <si>
    <t>C'est le % de la capitalisation boursière expliqué par la trésorerie</t>
  </si>
  <si>
    <t>Q11 : croissance de la capitalisation boursière de 2013 à 2016</t>
  </si>
  <si>
    <t>Q12 : croissance des capitaux propres de 2013 à 2016</t>
  </si>
  <si>
    <t>Résultat Net en million d'euro</t>
  </si>
  <si>
    <t>Capitaux propres comptables en million d'euro</t>
  </si>
  <si>
    <t>Q7/Q8/Q9 - Rentabilité marginale des capitaux propres</t>
  </si>
  <si>
    <t xml:space="preserve">Impact du dividende sur les paramètres de l'entreprise </t>
  </si>
  <si>
    <t xml:space="preserve">Paramètre </t>
  </si>
  <si>
    <t>Capitaux propres</t>
  </si>
  <si>
    <t>Coût du capital</t>
  </si>
  <si>
    <t xml:space="preserve">Coût des capitaux propres </t>
  </si>
  <si>
    <t>Actif économique comptable</t>
  </si>
  <si>
    <t xml:space="preserve">Risque de l'action </t>
  </si>
  <si>
    <t>Risque du patrimoine d'un actionnaire</t>
  </si>
  <si>
    <t>Solvabilité de l'entreprise</t>
  </si>
  <si>
    <t>Liquidité de l'entreprise</t>
  </si>
  <si>
    <t>Rentabilité économique</t>
  </si>
  <si>
    <t>Rentabilité des capitaux propres</t>
  </si>
  <si>
    <t>Réduit</t>
  </si>
  <si>
    <t>Pas d'impact</t>
  </si>
  <si>
    <t>Augmente</t>
  </si>
  <si>
    <t>Cela dépend</t>
  </si>
  <si>
    <t>Commentaire</t>
  </si>
  <si>
    <t>Impact</t>
  </si>
  <si>
    <t>Référence Vernimmen ou Mannuel du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</si>
</sst>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_);\ \(#,##0\);&quot;-&quot;_);@_)"/>
    <numFmt numFmtId="165" formatCode="0.0%"/>
    <numFmt numFmtId="166" formatCode="#,##0\ _F"/>
    <numFmt numFmtId="167" formatCode="#,##0.000\ _F"/>
    <numFmt numFmtId="168" formatCode="0.0000"/>
    <numFmt numFmtId="169" formatCode="#&quot;j&quot;\ "/>
    <numFmt numFmtId="170" formatCode="0.0"/>
    <numFmt numFmtId="171" formatCode="#,##0.0\ _F"/>
    <numFmt numFmtId="172" formatCode="#,##0.00\ _F"/>
    <numFmt numFmtId="173" formatCode="#,##0.0"/>
  </numFmts>
  <fonts count="20">
    <font>
      <sz val="10"/>
      <color rgb="FF000000"/>
      <name val="Arial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0"/>
      <color rgb="FF339966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Inconsolata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D4791"/>
        <bgColor rgb="FF1D4791"/>
      </patternFill>
    </fill>
    <fill>
      <patternFill patternType="solid">
        <fgColor rgb="FFE5EEFF"/>
        <bgColor rgb="FFE5EEFF"/>
      </patternFill>
    </fill>
    <fill>
      <patternFill patternType="solid">
        <fgColor theme="4" tint="0.79998168889431442"/>
        <bgColor rgb="FFE5EE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1D479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4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3" borderId="0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4" fontId="5" fillId="3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2" fillId="3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70" fontId="2" fillId="3" borderId="0" xfId="0" applyNumberFormat="1" applyFont="1" applyFill="1" applyBorder="1" applyAlignment="1">
      <alignment horizontal="center" vertical="center"/>
    </xf>
    <xf numFmtId="170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9" fontId="2" fillId="3" borderId="0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71" fontId="2" fillId="3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2" fontId="2" fillId="3" borderId="4" xfId="0" applyNumberFormat="1" applyFont="1" applyFill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vertical="center" wrapText="1"/>
    </xf>
    <xf numFmtId="164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/>
    <xf numFmtId="165" fontId="5" fillId="3" borderId="6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3" borderId="6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vertical="center" wrapText="1"/>
    </xf>
    <xf numFmtId="0" fontId="16" fillId="0" borderId="0" xfId="0" applyFont="1" applyAlignment="1"/>
    <xf numFmtId="0" fontId="5" fillId="0" borderId="0" xfId="0" quotePrefix="1" applyFont="1" applyAlignment="1">
      <alignment vertical="center" wrapText="1"/>
    </xf>
    <xf numFmtId="164" fontId="2" fillId="4" borderId="0" xfId="0" applyNumberFormat="1" applyFont="1" applyFill="1" applyBorder="1" applyAlignment="1">
      <alignment horizontal="center" vertical="center"/>
    </xf>
    <xf numFmtId="171" fontId="17" fillId="3" borderId="0" xfId="0" applyNumberFormat="1" applyFont="1" applyFill="1" applyBorder="1" applyAlignment="1">
      <alignment horizontal="center" vertical="center"/>
    </xf>
    <xf numFmtId="171" fontId="17" fillId="3" borderId="1" xfId="0" applyNumberFormat="1" applyFont="1" applyFill="1" applyBorder="1" applyAlignment="1">
      <alignment horizontal="center" vertical="center"/>
    </xf>
    <xf numFmtId="167" fontId="18" fillId="3" borderId="0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2" fillId="0" borderId="0" xfId="0" quotePrefix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9" fontId="5" fillId="3" borderId="6" xfId="0" applyNumberFormat="1" applyFont="1" applyFill="1" applyBorder="1" applyAlignment="1">
      <alignment horizontal="center" vertical="center"/>
    </xf>
    <xf numFmtId="9" fontId="2" fillId="0" borderId="0" xfId="123" applyFont="1" applyAlignment="1">
      <alignment vertical="center"/>
    </xf>
    <xf numFmtId="17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72" fontId="2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/>
    <xf numFmtId="0" fontId="0" fillId="6" borderId="7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/>
    </xf>
  </cellXfs>
  <cellStyles count="1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  <cellStyle name="Percent" xfId="12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7"/>
  <sheetViews>
    <sheetView showGridLines="0" tabSelected="1" topLeftCell="A133" zoomScale="91" zoomScaleNormal="80" zoomScalePageLayoutView="80" workbookViewId="0">
      <selection activeCell="D146" sqref="D146"/>
    </sheetView>
  </sheetViews>
  <sheetFormatPr defaultColWidth="17.28515625" defaultRowHeight="15" customHeight="1"/>
  <cols>
    <col min="1" max="1" width="1.7109375" customWidth="1"/>
    <col min="2" max="2" width="90.7109375" customWidth="1"/>
    <col min="3" max="6" width="17.7109375" customWidth="1"/>
    <col min="7" max="8" width="13.42578125" customWidth="1"/>
    <col min="9" max="9" width="87.85546875" customWidth="1"/>
    <col min="10" max="13" width="17.7109375" customWidth="1"/>
    <col min="14" max="23" width="11.42578125" customWidth="1"/>
  </cols>
  <sheetData>
    <row r="1" spans="1:23" ht="23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1"/>
      <c r="B2" s="4" t="s">
        <v>92</v>
      </c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spans="1:23" ht="23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spans="1:23" ht="23.25" customHeight="1">
      <c r="A4" s="1"/>
      <c r="B4" s="2"/>
      <c r="C4" s="2" t="s">
        <v>0</v>
      </c>
      <c r="D4" s="2" t="s">
        <v>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spans="1:23" ht="23.25" customHeight="1">
      <c r="A5" s="6"/>
      <c r="B5" s="7" t="s">
        <v>1</v>
      </c>
      <c r="C5" s="7"/>
      <c r="D5" s="7"/>
      <c r="E5" s="7"/>
      <c r="F5" s="7"/>
      <c r="G5" s="7"/>
      <c r="H5" s="7"/>
      <c r="I5" s="7" t="s">
        <v>2</v>
      </c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</row>
    <row r="6" spans="1:23" ht="23.25" customHeight="1">
      <c r="A6" s="6"/>
      <c r="B6" s="7" t="s">
        <v>93</v>
      </c>
      <c r="C6" s="7"/>
      <c r="D6" s="7"/>
      <c r="E6" s="7"/>
      <c r="F6" s="7"/>
      <c r="G6" s="7"/>
      <c r="H6" s="7"/>
      <c r="I6" s="7" t="str">
        <f>B6</f>
        <v>Clôture des comptes le 30 septembre</v>
      </c>
      <c r="J6" s="7"/>
      <c r="K6" s="7"/>
      <c r="L6" s="7"/>
      <c r="M6" s="7"/>
      <c r="N6" s="7"/>
      <c r="O6" s="7"/>
      <c r="P6" s="6"/>
      <c r="Q6" s="6"/>
      <c r="R6" s="6"/>
      <c r="S6" s="6"/>
      <c r="T6" s="6"/>
      <c r="U6" s="6"/>
      <c r="V6" s="6"/>
      <c r="W6" s="6"/>
    </row>
    <row r="7" spans="1:23" ht="8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</row>
    <row r="8" spans="1:23" ht="23.25" customHeight="1">
      <c r="A8" s="6"/>
      <c r="B8" s="8" t="s">
        <v>99</v>
      </c>
      <c r="C8" s="9">
        <v>2013</v>
      </c>
      <c r="D8" s="9">
        <f t="shared" ref="D8" si="0">C8+1</f>
        <v>2014</v>
      </c>
      <c r="E8" s="9">
        <f>1+D8</f>
        <v>2015</v>
      </c>
      <c r="F8" s="9">
        <f>E8+1</f>
        <v>2016</v>
      </c>
      <c r="G8" s="7"/>
      <c r="H8" s="7"/>
      <c r="I8" s="8" t="s">
        <v>3</v>
      </c>
      <c r="J8" s="9">
        <f>C8</f>
        <v>2013</v>
      </c>
      <c r="K8" s="9">
        <f>D8</f>
        <v>2014</v>
      </c>
      <c r="L8" s="9">
        <f>E8</f>
        <v>2015</v>
      </c>
      <c r="M8" s="9">
        <f>F8</f>
        <v>2016</v>
      </c>
      <c r="N8" s="7"/>
      <c r="O8" s="7"/>
      <c r="P8" s="6"/>
      <c r="Q8" s="6"/>
      <c r="R8" s="6"/>
      <c r="S8" s="6"/>
      <c r="T8" s="6"/>
      <c r="U8" s="6"/>
      <c r="V8" s="6"/>
      <c r="W8" s="6"/>
    </row>
    <row r="9" spans="1:23" ht="23.25" customHeight="1">
      <c r="A9" s="1"/>
      <c r="B9" s="10" t="s">
        <v>4</v>
      </c>
      <c r="C9" s="11">
        <v>78084.567999999999</v>
      </c>
      <c r="D9" s="11">
        <v>55578.974999999999</v>
      </c>
      <c r="E9" s="11">
        <v>57942.692999999999</v>
      </c>
      <c r="F9" s="12">
        <v>50580.841999999997</v>
      </c>
      <c r="G9" s="2"/>
      <c r="H9" s="2"/>
      <c r="I9" s="10" t="str">
        <f t="shared" ref="I9:I19" si="1">B9</f>
        <v>Chiffre d'affaires</v>
      </c>
      <c r="J9" s="13">
        <f>C9/$C$9</f>
        <v>1</v>
      </c>
      <c r="K9" s="13">
        <f>D9/$D$9</f>
        <v>1</v>
      </c>
      <c r="L9" s="23">
        <f>E9/$E$9</f>
        <v>1</v>
      </c>
      <c r="M9" s="13">
        <v>1</v>
      </c>
      <c r="N9" s="2"/>
      <c r="O9" s="2"/>
      <c r="P9" s="1"/>
      <c r="Q9" s="1"/>
      <c r="R9" s="1"/>
      <c r="S9" s="1"/>
      <c r="T9" s="1"/>
      <c r="U9" s="1"/>
      <c r="V9" s="1"/>
      <c r="W9" s="1"/>
    </row>
    <row r="10" spans="1:23" ht="23.25" customHeight="1">
      <c r="A10" s="1"/>
      <c r="B10" s="74" t="s">
        <v>96</v>
      </c>
      <c r="C10" s="12">
        <v>-4346.6499999999996</v>
      </c>
      <c r="D10" s="12">
        <v>-272.04899999999998</v>
      </c>
      <c r="E10" s="12">
        <v>-178.238</v>
      </c>
      <c r="F10" s="12">
        <f>-1328.876</f>
        <v>-1328.876</v>
      </c>
      <c r="G10" s="2"/>
      <c r="H10" s="2"/>
      <c r="I10" s="14" t="str">
        <f t="shared" si="1"/>
        <v xml:space="preserve"> +/- Production stockée et immobilisée</v>
      </c>
      <c r="J10" s="59">
        <f t="shared" ref="J10:J11" si="2">C10/$C$9</f>
        <v>-5.5665928765847812E-2</v>
      </c>
      <c r="K10" s="59">
        <f t="shared" ref="K10:K11" si="3">D10/$D$9</f>
        <v>-4.8948185892237128E-3</v>
      </c>
      <c r="L10" s="17">
        <f t="shared" ref="L10:M11" si="4">E10/$E$9</f>
        <v>-3.0761083196461027E-3</v>
      </c>
      <c r="M10" s="17">
        <f t="shared" si="4"/>
        <v>-2.2934315462348288E-2</v>
      </c>
      <c r="N10" s="2"/>
      <c r="O10" s="2"/>
      <c r="P10" s="1"/>
      <c r="Q10" s="1"/>
      <c r="R10" s="1"/>
      <c r="S10" s="1"/>
      <c r="T10" s="1"/>
      <c r="U10" s="1"/>
      <c r="V10" s="1"/>
      <c r="W10" s="1"/>
    </row>
    <row r="11" spans="1:23" ht="23.25" customHeight="1">
      <c r="A11" s="1"/>
      <c r="B11" s="75" t="s">
        <v>94</v>
      </c>
      <c r="C11" s="76">
        <f t="shared" ref="C11:E11" si="5">C9+C10</f>
        <v>73737.918000000005</v>
      </c>
      <c r="D11" s="76">
        <f t="shared" si="5"/>
        <v>55306.925999999999</v>
      </c>
      <c r="E11" s="76">
        <f t="shared" si="5"/>
        <v>57764.455000000002</v>
      </c>
      <c r="F11" s="76">
        <f>F9+F10</f>
        <v>49251.966</v>
      </c>
      <c r="G11" s="2"/>
      <c r="H11" s="2"/>
      <c r="I11" s="75" t="str">
        <f t="shared" si="1"/>
        <v>Production totale</v>
      </c>
      <c r="J11" s="87">
        <f t="shared" si="2"/>
        <v>0.94433407123415225</v>
      </c>
      <c r="K11" s="87">
        <f t="shared" si="3"/>
        <v>0.99510518141077631</v>
      </c>
      <c r="L11" s="71">
        <f t="shared" si="4"/>
        <v>0.99692389168035389</v>
      </c>
      <c r="M11" s="87">
        <v>1</v>
      </c>
      <c r="N11" s="2"/>
      <c r="O11" s="2"/>
      <c r="P11" s="1"/>
      <c r="Q11" s="1"/>
      <c r="R11" s="1"/>
      <c r="S11" s="1"/>
      <c r="T11" s="1"/>
      <c r="U11" s="1"/>
      <c r="V11" s="1"/>
      <c r="W11" s="1"/>
    </row>
    <row r="12" spans="1:23" ht="23.25" customHeight="1">
      <c r="A12" s="1"/>
      <c r="B12" s="77" t="s">
        <v>102</v>
      </c>
      <c r="C12" s="15">
        <f>25429.392+2130.206</f>
        <v>27559.597999999998</v>
      </c>
      <c r="D12" s="15">
        <f>21947.622-414.541</f>
        <v>21533.080999999998</v>
      </c>
      <c r="E12" s="15">
        <f>23816.525+190.969</f>
        <v>24007.494000000002</v>
      </c>
      <c r="F12" s="16">
        <f>18688.458+538.599</f>
        <v>19227.056999999997</v>
      </c>
      <c r="G12" s="2"/>
      <c r="H12" s="2"/>
      <c r="I12" s="14" t="str">
        <f t="shared" si="1"/>
        <v>- Consommation de matière</v>
      </c>
      <c r="J12" s="73">
        <f>C12/$C$9</f>
        <v>0.3529455141507602</v>
      </c>
      <c r="K12" s="73">
        <f>D12/$D$9</f>
        <v>0.3874321359830763</v>
      </c>
      <c r="L12" s="17">
        <f t="shared" ref="L12:L29" si="6">E12/$E$9</f>
        <v>0.4143316914869663</v>
      </c>
      <c r="M12" s="17">
        <f t="shared" ref="M12:M19" si="7">F12/F$9</f>
        <v>0.38012528537978862</v>
      </c>
      <c r="N12" s="2"/>
      <c r="O12" s="2"/>
      <c r="P12" s="1"/>
      <c r="Q12" s="1"/>
      <c r="R12" s="1"/>
      <c r="S12" s="1"/>
      <c r="T12" s="1"/>
      <c r="U12" s="1"/>
      <c r="V12" s="1"/>
      <c r="W12" s="1"/>
    </row>
    <row r="13" spans="1:23" ht="23.25" customHeight="1">
      <c r="A13" s="1"/>
      <c r="B13" s="75" t="s">
        <v>5</v>
      </c>
      <c r="C13" s="19">
        <f t="shared" ref="C13:E13" si="8">C11-C12</f>
        <v>46178.320000000007</v>
      </c>
      <c r="D13" s="19">
        <f t="shared" si="8"/>
        <v>33773.845000000001</v>
      </c>
      <c r="E13" s="19">
        <f t="shared" si="8"/>
        <v>33756.960999999996</v>
      </c>
      <c r="F13" s="19">
        <f>F11-F12</f>
        <v>30024.909000000003</v>
      </c>
      <c r="G13" s="2"/>
      <c r="H13" s="2"/>
      <c r="I13" s="18" t="str">
        <f t="shared" si="1"/>
        <v>= Marge brute</v>
      </c>
      <c r="J13" s="72">
        <f t="shared" ref="J13" si="9">C13/$C$9</f>
        <v>0.591388557083392</v>
      </c>
      <c r="K13" s="72">
        <f t="shared" ref="K13" si="10">D13/$D$9</f>
        <v>0.60767304542769995</v>
      </c>
      <c r="L13" s="71">
        <f t="shared" si="6"/>
        <v>0.58259220019338753</v>
      </c>
      <c r="M13" s="20">
        <f t="shared" si="7"/>
        <v>0.59360239594271691</v>
      </c>
      <c r="N13" s="2"/>
      <c r="O13" s="2"/>
      <c r="P13" s="1"/>
      <c r="Q13" s="1"/>
      <c r="R13" s="1"/>
      <c r="S13" s="1"/>
      <c r="T13" s="1"/>
      <c r="U13" s="1"/>
      <c r="V13" s="1"/>
      <c r="W13" s="1"/>
    </row>
    <row r="14" spans="1:23" ht="23.25" customHeight="1">
      <c r="A14" s="1"/>
      <c r="B14" s="14" t="s">
        <v>6</v>
      </c>
      <c r="C14" s="15">
        <v>7984.7359999999999</v>
      </c>
      <c r="D14" s="15">
        <v>5728.15</v>
      </c>
      <c r="E14" s="15">
        <v>5800.9759999999997</v>
      </c>
      <c r="F14" s="16">
        <v>5840.0730000000003</v>
      </c>
      <c r="G14" s="2"/>
      <c r="H14" s="2"/>
      <c r="I14" s="14" t="str">
        <f t="shared" si="1"/>
        <v>- Charges externes</v>
      </c>
      <c r="J14" s="17">
        <f t="shared" ref="J14:J19" si="11">C14/$C$9</f>
        <v>0.10225754210486251</v>
      </c>
      <c r="K14" s="17">
        <f t="shared" ref="K14:K19" si="12">D14/$D$9</f>
        <v>0.10306325368540892</v>
      </c>
      <c r="L14" s="17">
        <f t="shared" si="6"/>
        <v>0.1001157471227649</v>
      </c>
      <c r="M14" s="17">
        <f t="shared" si="7"/>
        <v>0.1154601775905589</v>
      </c>
      <c r="N14" s="2"/>
      <c r="O14" s="2"/>
      <c r="P14" s="1"/>
      <c r="Q14" s="1"/>
      <c r="R14" s="1"/>
      <c r="S14" s="1"/>
      <c r="T14" s="1"/>
      <c r="U14" s="1"/>
      <c r="V14" s="1"/>
      <c r="W14" s="1"/>
    </row>
    <row r="15" spans="1:23" ht="23.25" customHeight="1">
      <c r="A15" s="6"/>
      <c r="B15" s="18" t="s">
        <v>7</v>
      </c>
      <c r="C15" s="19">
        <f t="shared" ref="C15:F15" si="13">C13-C14</f>
        <v>38193.58400000001</v>
      </c>
      <c r="D15" s="19">
        <f t="shared" si="13"/>
        <v>28045.695</v>
      </c>
      <c r="E15" s="19">
        <f t="shared" si="13"/>
        <v>27955.984999999997</v>
      </c>
      <c r="F15" s="19">
        <f t="shared" si="13"/>
        <v>24184.836000000003</v>
      </c>
      <c r="G15" s="2"/>
      <c r="H15" s="2"/>
      <c r="I15" s="18" t="str">
        <f t="shared" si="1"/>
        <v>= Valeur ajoutée</v>
      </c>
      <c r="J15" s="20">
        <f t="shared" si="11"/>
        <v>0.48913101497852957</v>
      </c>
      <c r="K15" s="20">
        <f t="shared" si="12"/>
        <v>0.50460979174229104</v>
      </c>
      <c r="L15" s="71">
        <f t="shared" si="6"/>
        <v>0.4824764530706227</v>
      </c>
      <c r="M15" s="20">
        <f t="shared" si="7"/>
        <v>0.47814221835215803</v>
      </c>
      <c r="N15" s="2"/>
      <c r="O15" s="2"/>
      <c r="P15" s="1"/>
      <c r="Q15" s="1"/>
      <c r="R15" s="1"/>
      <c r="S15" s="1"/>
      <c r="T15" s="1"/>
      <c r="U15" s="1"/>
      <c r="V15" s="1"/>
      <c r="W15" s="1"/>
    </row>
    <row r="16" spans="1:23" ht="23.25" customHeight="1">
      <c r="A16" s="1"/>
      <c r="B16" s="14" t="s">
        <v>8</v>
      </c>
      <c r="C16" s="15">
        <f>10286.597+4613.266+1756.982</f>
        <v>16656.845000000001</v>
      </c>
      <c r="D16" s="15">
        <f>10061.353+4302.508+878.258</f>
        <v>15242.118999999999</v>
      </c>
      <c r="E16" s="15">
        <f>9971.539+4407.663+950.998</f>
        <v>15330.2</v>
      </c>
      <c r="F16" s="16">
        <f>9967.94+4513.681+431.2</f>
        <v>14912.821</v>
      </c>
      <c r="G16" s="2"/>
      <c r="H16" s="2"/>
      <c r="I16" s="14" t="str">
        <f t="shared" si="1"/>
        <v>- Charges de personnel</v>
      </c>
      <c r="J16" s="17">
        <f t="shared" si="11"/>
        <v>0.21331801438665834</v>
      </c>
      <c r="K16" s="17">
        <f t="shared" si="12"/>
        <v>0.2742425350593457</v>
      </c>
      <c r="L16" s="17">
        <f t="shared" si="6"/>
        <v>0.26457520709298066</v>
      </c>
      <c r="M16" s="17">
        <f t="shared" si="7"/>
        <v>0.29483141067521179</v>
      </c>
      <c r="N16" s="2"/>
      <c r="O16" s="2"/>
      <c r="P16" s="1"/>
      <c r="Q16" s="1"/>
      <c r="R16" s="1"/>
      <c r="S16" s="1"/>
      <c r="T16" s="1"/>
      <c r="U16" s="1"/>
      <c r="V16" s="1"/>
      <c r="W16" s="1"/>
    </row>
    <row r="17" spans="1:23" ht="23.25" customHeight="1">
      <c r="A17" s="1"/>
      <c r="B17" s="14" t="s">
        <v>9</v>
      </c>
      <c r="C17" s="15">
        <v>1241.9090000000001</v>
      </c>
      <c r="D17" s="15">
        <v>960.64800000000002</v>
      </c>
      <c r="E17" s="15">
        <v>915.27800000000002</v>
      </c>
      <c r="F17" s="16">
        <v>881.05499999999995</v>
      </c>
      <c r="G17" s="2"/>
      <c r="H17" s="2"/>
      <c r="I17" s="14" t="str">
        <f t="shared" si="1"/>
        <v xml:space="preserve">- Impôts et taxes </v>
      </c>
      <c r="J17" s="17">
        <f t="shared" si="11"/>
        <v>1.5904666335606801E-2</v>
      </c>
      <c r="K17" s="17">
        <f t="shared" si="12"/>
        <v>1.7284377770550825E-2</v>
      </c>
      <c r="L17" s="17">
        <f t="shared" si="6"/>
        <v>1.5796262697006506E-2</v>
      </c>
      <c r="M17" s="17">
        <f t="shared" si="7"/>
        <v>1.7418749177801351E-2</v>
      </c>
      <c r="N17" s="2"/>
      <c r="O17" s="2"/>
      <c r="P17" s="1"/>
      <c r="Q17" s="1"/>
      <c r="R17" s="1"/>
      <c r="S17" s="1"/>
      <c r="T17" s="1"/>
      <c r="U17" s="1"/>
      <c r="V17" s="1"/>
      <c r="W17" s="1"/>
    </row>
    <row r="18" spans="1:23" ht="23.25" customHeight="1">
      <c r="A18" s="1"/>
      <c r="B18" s="14" t="s">
        <v>10</v>
      </c>
      <c r="C18" s="15">
        <f>-151.581-775.136-278.1+1674.212+0.111</f>
        <v>469.50599999999997</v>
      </c>
      <c r="D18" s="15">
        <f>-163.555-727.426+623.854+0.042</f>
        <v>-267.08499999999998</v>
      </c>
      <c r="E18" s="15">
        <f>-168.679-414.15-92.57+708.062+0.022</f>
        <v>32.685000000000123</v>
      </c>
      <c r="F18" s="16">
        <f>-191.349-133.561+261.621+0.042</f>
        <v>-63.246999999999986</v>
      </c>
      <c r="G18" s="2"/>
      <c r="H18" s="2"/>
      <c r="I18" s="14" t="str">
        <f t="shared" si="1"/>
        <v>+/- Autres produits/charges</v>
      </c>
      <c r="J18" s="17">
        <f t="shared" si="11"/>
        <v>6.0127885960770122E-3</v>
      </c>
      <c r="K18" s="17">
        <f t="shared" si="12"/>
        <v>-4.8055042396877596E-3</v>
      </c>
      <c r="L18" s="17">
        <f t="shared" si="6"/>
        <v>5.6409183466843915E-4</v>
      </c>
      <c r="M18" s="17">
        <f t="shared" si="7"/>
        <v>-1.2504141390133441E-3</v>
      </c>
      <c r="N18" s="2"/>
      <c r="O18" s="2"/>
      <c r="P18" s="1"/>
      <c r="Q18" s="1"/>
      <c r="R18" s="1"/>
      <c r="S18" s="1"/>
      <c r="T18" s="1"/>
      <c r="U18" s="1"/>
      <c r="V18" s="1"/>
      <c r="W18" s="1"/>
    </row>
    <row r="19" spans="1:23" ht="23.25" customHeight="1">
      <c r="A19" s="1"/>
      <c r="B19" s="18" t="s">
        <v>11</v>
      </c>
      <c r="C19" s="19">
        <f t="shared" ref="C19:E19" si="14">C15-C16-C17+C18</f>
        <v>20764.33600000001</v>
      </c>
      <c r="D19" s="19">
        <f t="shared" si="14"/>
        <v>11575.843000000003</v>
      </c>
      <c r="E19" s="19">
        <f t="shared" si="14"/>
        <v>11743.191999999995</v>
      </c>
      <c r="F19" s="19">
        <f>F15-F16-F17+F18</f>
        <v>8327.7130000000034</v>
      </c>
      <c r="G19" s="2"/>
      <c r="H19" s="2"/>
      <c r="I19" s="18" t="str">
        <f t="shared" si="1"/>
        <v>= Excédent brut d'exploitation</v>
      </c>
      <c r="J19" s="20">
        <f t="shared" si="11"/>
        <v>0.26592112285234143</v>
      </c>
      <c r="K19" s="20">
        <f t="shared" si="12"/>
        <v>0.20827737467270677</v>
      </c>
      <c r="L19" s="71">
        <f t="shared" si="6"/>
        <v>0.20266907511530394</v>
      </c>
      <c r="M19" s="20">
        <f t="shared" si="7"/>
        <v>0.16464164436013154</v>
      </c>
      <c r="N19" s="2"/>
      <c r="O19" s="2"/>
      <c r="P19" s="1"/>
      <c r="Q19" s="1"/>
      <c r="R19" s="1"/>
      <c r="S19" s="1"/>
      <c r="T19" s="1"/>
      <c r="U19" s="1"/>
      <c r="V19" s="1"/>
      <c r="W19" s="1"/>
    </row>
    <row r="20" spans="1:23" ht="23.25" hidden="1" customHeight="1">
      <c r="A20" s="1"/>
      <c r="B20" s="21" t="s">
        <v>12</v>
      </c>
      <c r="C20" s="22">
        <v>6407</v>
      </c>
      <c r="D20" s="22">
        <v>2314</v>
      </c>
      <c r="E20" s="22">
        <v>3698</v>
      </c>
      <c r="F20" s="22">
        <v>1614</v>
      </c>
      <c r="G20" s="2"/>
      <c r="H20" s="2"/>
      <c r="I20" s="10"/>
      <c r="J20" s="23"/>
      <c r="K20" s="23"/>
      <c r="L20" s="23">
        <f t="shared" si="6"/>
        <v>6.3821679810429244E-2</v>
      </c>
      <c r="M20" s="23"/>
      <c r="N20" s="2"/>
      <c r="O20" s="2"/>
      <c r="P20" s="1"/>
      <c r="Q20" s="1"/>
      <c r="R20" s="1"/>
      <c r="S20" s="1"/>
      <c r="T20" s="1"/>
      <c r="U20" s="1"/>
      <c r="V20" s="1"/>
      <c r="W20" s="1"/>
    </row>
    <row r="21" spans="1:23" ht="23.25" hidden="1" customHeight="1">
      <c r="A21" s="6"/>
      <c r="B21" s="14" t="s">
        <v>13</v>
      </c>
      <c r="C21" s="16">
        <v>51802</v>
      </c>
      <c r="D21" s="16">
        <v>64245</v>
      </c>
      <c r="E21" s="16">
        <v>59995</v>
      </c>
      <c r="F21" s="16">
        <v>67915</v>
      </c>
      <c r="G21" s="2"/>
      <c r="H21" s="2"/>
      <c r="I21" s="14" t="str">
        <f t="shared" ref="I21:I29" si="15">B21</f>
        <v>- Dotations aux amortissements et provisions nets (rep.)</v>
      </c>
      <c r="J21" s="17">
        <f t="shared" ref="J21:J29" si="16">C21/$C$9</f>
        <v>0.66340893376012533</v>
      </c>
      <c r="K21" s="17">
        <f t="shared" ref="K21:K29" si="17">D21/$D$9</f>
        <v>1.1559227207770564</v>
      </c>
      <c r="L21" s="23">
        <f t="shared" si="6"/>
        <v>1.0354195998449709</v>
      </c>
      <c r="M21" s="17">
        <f t="shared" ref="M21:M29" si="18">F21/F$9</f>
        <v>1.3427020451735463</v>
      </c>
      <c r="N21" s="2"/>
      <c r="O21" s="2"/>
      <c r="P21" s="1"/>
      <c r="Q21" s="1"/>
      <c r="R21" s="1"/>
      <c r="S21" s="1"/>
      <c r="T21" s="1"/>
      <c r="U21" s="1"/>
      <c r="V21" s="1"/>
      <c r="W21" s="1"/>
    </row>
    <row r="22" spans="1:23" ht="23.25" customHeight="1">
      <c r="A22" s="6"/>
      <c r="B22" s="14" t="s">
        <v>14</v>
      </c>
      <c r="C22" s="16">
        <v>407.10399999999998</v>
      </c>
      <c r="D22" s="15">
        <v>370.94799999999998</v>
      </c>
      <c r="E22" s="16">
        <v>340.46600000000001</v>
      </c>
      <c r="F22" s="16">
        <f>350.163</f>
        <v>350.16300000000001</v>
      </c>
      <c r="G22" s="2"/>
      <c r="H22" s="2"/>
      <c r="I22" s="14" t="str">
        <f t="shared" si="15"/>
        <v xml:space="preserve">- Dotations aux amortissements </v>
      </c>
      <c r="J22" s="17">
        <f t="shared" si="16"/>
        <v>5.2136294075418336E-3</v>
      </c>
      <c r="K22" s="17">
        <f t="shared" si="17"/>
        <v>6.6742504697144918E-3</v>
      </c>
      <c r="L22" s="17">
        <f t="shared" si="6"/>
        <v>5.8759091504428347E-3</v>
      </c>
      <c r="M22" s="17">
        <f t="shared" si="18"/>
        <v>6.9228384928823449E-3</v>
      </c>
      <c r="N22" s="2"/>
      <c r="O22" s="2"/>
      <c r="P22" s="1"/>
      <c r="Q22" s="1"/>
      <c r="R22" s="1"/>
      <c r="S22" s="1"/>
      <c r="T22" s="1"/>
      <c r="U22" s="1"/>
      <c r="V22" s="1"/>
      <c r="W22" s="1"/>
    </row>
    <row r="23" spans="1:23" ht="23.25" customHeight="1">
      <c r="A23" s="24"/>
      <c r="B23" s="18" t="s">
        <v>15</v>
      </c>
      <c r="C23" s="19">
        <f t="shared" ref="C23:E23" si="19">C19-C22</f>
        <v>20357.232000000011</v>
      </c>
      <c r="D23" s="19">
        <f t="shared" si="19"/>
        <v>11204.895000000002</v>
      </c>
      <c r="E23" s="19">
        <f t="shared" si="19"/>
        <v>11402.725999999995</v>
      </c>
      <c r="F23" s="19">
        <f>F19-F22</f>
        <v>7977.5500000000029</v>
      </c>
      <c r="G23" s="2"/>
      <c r="H23" s="2"/>
      <c r="I23" s="18" t="str">
        <f t="shared" si="15"/>
        <v>= Résultat d'exploitation</v>
      </c>
      <c r="J23" s="20">
        <f t="shared" si="16"/>
        <v>0.26070749344479965</v>
      </c>
      <c r="K23" s="20">
        <f t="shared" si="17"/>
        <v>0.20160312420299228</v>
      </c>
      <c r="L23" s="71">
        <f t="shared" si="6"/>
        <v>0.1967931659648611</v>
      </c>
      <c r="M23" s="20">
        <f t="shared" si="18"/>
        <v>0.15771880586724918</v>
      </c>
      <c r="N23" s="2"/>
      <c r="O23" s="2"/>
      <c r="P23" s="1"/>
      <c r="Q23" s="1"/>
      <c r="R23" s="1"/>
      <c r="S23" s="1"/>
      <c r="T23" s="1"/>
      <c r="U23" s="1"/>
      <c r="V23" s="1"/>
      <c r="W23" s="1"/>
    </row>
    <row r="24" spans="1:23" ht="23.25" customHeight="1">
      <c r="A24" s="6"/>
      <c r="B24" s="68" t="s">
        <v>95</v>
      </c>
      <c r="C24" s="16">
        <v>74.376000000000005</v>
      </c>
      <c r="D24" s="16">
        <v>38.654000000000003</v>
      </c>
      <c r="E24" s="16">
        <v>69.034999999999997</v>
      </c>
      <c r="F24" s="16">
        <v>40.691000000000003</v>
      </c>
      <c r="G24" s="2"/>
      <c r="H24" s="2"/>
      <c r="I24" s="14" t="str">
        <f t="shared" si="15"/>
        <v xml:space="preserve">- Frais financiers </v>
      </c>
      <c r="J24" s="17">
        <f t="shared" si="16"/>
        <v>9.5250574991975377E-4</v>
      </c>
      <c r="K24" s="17">
        <f t="shared" si="17"/>
        <v>6.9547882090304836E-4</v>
      </c>
      <c r="L24" s="17">
        <f t="shared" si="6"/>
        <v>1.1914358209067018E-3</v>
      </c>
      <c r="M24" s="17">
        <f t="shared" si="18"/>
        <v>8.0447454789305418E-4</v>
      </c>
      <c r="N24" s="2"/>
      <c r="O24" s="2"/>
      <c r="P24" s="1"/>
      <c r="Q24" s="1"/>
      <c r="R24" s="1"/>
      <c r="S24" s="1"/>
      <c r="T24" s="1"/>
      <c r="U24" s="1"/>
      <c r="V24" s="1"/>
      <c r="W24" s="1"/>
    </row>
    <row r="25" spans="1:23" ht="23.25" customHeight="1">
      <c r="A25" s="6"/>
      <c r="B25" s="68" t="s">
        <v>97</v>
      </c>
      <c r="C25" s="16">
        <v>777.48099999999999</v>
      </c>
      <c r="D25" s="16">
        <v>757.298</v>
      </c>
      <c r="E25" s="16">
        <f>769.036</f>
        <v>769.03599999999994</v>
      </c>
      <c r="F25" s="16">
        <v>982.75099999999998</v>
      </c>
      <c r="G25" s="2"/>
      <c r="H25" s="2"/>
      <c r="I25" s="68" t="s">
        <v>97</v>
      </c>
      <c r="J25" s="17">
        <f t="shared" ref="J25:J26" si="20">C25/$C$9</f>
        <v>9.9569097955437245E-3</v>
      </c>
      <c r="K25" s="17">
        <f t="shared" ref="K25:K26" si="21">D25/$D$9</f>
        <v>1.3625620119838483E-2</v>
      </c>
      <c r="L25" s="17">
        <f t="shared" ref="L25:L26" si="22">E25/$E$9</f>
        <v>1.3272355152702343E-2</v>
      </c>
      <c r="M25" s="17">
        <f t="shared" ref="M25:M26" si="23">F25/F$9</f>
        <v>1.9429312782100385E-2</v>
      </c>
      <c r="N25" s="2"/>
      <c r="O25" s="2"/>
      <c r="P25" s="1"/>
      <c r="Q25" s="1"/>
      <c r="R25" s="1"/>
      <c r="S25" s="1"/>
      <c r="T25" s="1"/>
      <c r="U25" s="1"/>
      <c r="V25" s="1"/>
      <c r="W25" s="1"/>
    </row>
    <row r="26" spans="1:23" ht="23.25" customHeight="1">
      <c r="A26" s="6"/>
      <c r="B26" s="14" t="s">
        <v>16</v>
      </c>
      <c r="C26" s="16">
        <v>-467.202</v>
      </c>
      <c r="D26" s="15">
        <v>-23.637</v>
      </c>
      <c r="E26" s="15">
        <v>-201.071</v>
      </c>
      <c r="F26" s="16">
        <f>498.614</f>
        <v>498.61399999999998</v>
      </c>
      <c r="G26" s="2"/>
      <c r="H26" s="2"/>
      <c r="I26" s="14" t="str">
        <f t="shared" si="15"/>
        <v>+ Eléments non récurrents</v>
      </c>
      <c r="J26" s="17">
        <f t="shared" si="20"/>
        <v>-5.9832821256051516E-3</v>
      </c>
      <c r="K26" s="17">
        <f t="shared" si="21"/>
        <v>-4.2528672038302258E-4</v>
      </c>
      <c r="L26" s="17">
        <f t="shared" si="22"/>
        <v>-3.4701700868477064E-3</v>
      </c>
      <c r="M26" s="17">
        <f t="shared" si="23"/>
        <v>9.8577639336253041E-3</v>
      </c>
      <c r="N26" s="2"/>
      <c r="O26" s="2"/>
      <c r="P26" s="1"/>
      <c r="Q26" s="1"/>
      <c r="R26" s="1"/>
      <c r="S26" s="1"/>
      <c r="T26" s="1"/>
      <c r="U26" s="1"/>
      <c r="V26" s="1"/>
      <c r="W26" s="1"/>
    </row>
    <row r="27" spans="1:23" ht="23.25" customHeight="1">
      <c r="A27" s="1"/>
      <c r="B27" s="18" t="s">
        <v>17</v>
      </c>
      <c r="C27" s="19">
        <f>C23-C24+C25+C26</f>
        <v>20593.135000000009</v>
      </c>
      <c r="D27" s="19">
        <f>D23-D24+D25+D26</f>
        <v>11899.902000000002</v>
      </c>
      <c r="E27" s="19">
        <f>E23-E24+E25+E26</f>
        <v>11901.655999999995</v>
      </c>
      <c r="F27" s="19">
        <f>F23-F24+F25+F26</f>
        <v>9418.224000000002</v>
      </c>
      <c r="G27" s="2"/>
      <c r="H27" s="2"/>
      <c r="I27" s="18" t="str">
        <f t="shared" si="15"/>
        <v>= Résultat avant impôt</v>
      </c>
      <c r="J27" s="20">
        <f t="shared" si="16"/>
        <v>0.26372861536481845</v>
      </c>
      <c r="K27" s="20">
        <f t="shared" si="17"/>
        <v>0.21410797878154467</v>
      </c>
      <c r="L27" s="71">
        <f t="shared" si="6"/>
        <v>0.20540391520980902</v>
      </c>
      <c r="M27" s="20">
        <f t="shared" si="18"/>
        <v>0.18620140803508178</v>
      </c>
      <c r="N27" s="2"/>
      <c r="O27" s="2"/>
      <c r="P27" s="1"/>
      <c r="Q27" s="1"/>
      <c r="R27" s="1"/>
      <c r="S27" s="1"/>
      <c r="T27" s="1"/>
      <c r="U27" s="1"/>
      <c r="V27" s="1"/>
      <c r="W27" s="1"/>
    </row>
    <row r="28" spans="1:23" ht="23.25" customHeight="1">
      <c r="A28" s="1"/>
      <c r="B28" s="14" t="s">
        <v>18</v>
      </c>
      <c r="C28" s="15">
        <v>7178.0969999999998</v>
      </c>
      <c r="D28" s="15">
        <v>3768.2080000000001</v>
      </c>
      <c r="E28" s="15">
        <v>4132.8220000000001</v>
      </c>
      <c r="F28" s="16">
        <v>2529</v>
      </c>
      <c r="G28" s="2"/>
      <c r="H28" s="2"/>
      <c r="I28" s="14" t="str">
        <f t="shared" si="15"/>
        <v xml:space="preserve">- Impôt sur les bénéfices </v>
      </c>
      <c r="J28" s="17">
        <f t="shared" si="16"/>
        <v>9.1927216655664917E-2</v>
      </c>
      <c r="K28" s="17">
        <f t="shared" si="17"/>
        <v>6.77991632627266E-2</v>
      </c>
      <c r="L28" s="17">
        <f t="shared" si="6"/>
        <v>7.1326025526635431E-2</v>
      </c>
      <c r="M28" s="17">
        <f t="shared" si="18"/>
        <v>4.9999167669055412E-2</v>
      </c>
      <c r="N28" s="2"/>
      <c r="O28" s="2"/>
      <c r="P28" s="1"/>
      <c r="Q28" s="1"/>
      <c r="R28" s="1"/>
      <c r="S28" s="1"/>
      <c r="T28" s="1"/>
      <c r="U28" s="1"/>
      <c r="V28" s="1"/>
      <c r="W28" s="1"/>
    </row>
    <row r="29" spans="1:23" ht="23.25" customHeight="1">
      <c r="A29" s="25"/>
      <c r="B29" s="18" t="s">
        <v>19</v>
      </c>
      <c r="C29" s="19">
        <f t="shared" ref="C29:E29" si="24">C27-C28</f>
        <v>13415.03800000001</v>
      </c>
      <c r="D29" s="19">
        <f t="shared" si="24"/>
        <v>8131.6940000000013</v>
      </c>
      <c r="E29" s="19">
        <f t="shared" si="24"/>
        <v>7768.8339999999953</v>
      </c>
      <c r="F29" s="19">
        <f>F27-F28</f>
        <v>6889.224000000002</v>
      </c>
      <c r="G29" s="2"/>
      <c r="H29" s="2"/>
      <c r="I29" s="18" t="str">
        <f t="shared" si="15"/>
        <v>= Résultat net</v>
      </c>
      <c r="J29" s="20">
        <f t="shared" si="16"/>
        <v>0.17180139870915351</v>
      </c>
      <c r="K29" s="20">
        <f t="shared" si="17"/>
        <v>0.14630881551881808</v>
      </c>
      <c r="L29" s="71">
        <f t="shared" si="6"/>
        <v>0.13407788968317361</v>
      </c>
      <c r="M29" s="20">
        <f t="shared" si="18"/>
        <v>0.13620224036602638</v>
      </c>
      <c r="N29" s="2"/>
      <c r="O29" s="2"/>
      <c r="P29" s="1"/>
      <c r="Q29" s="1"/>
      <c r="R29" s="1"/>
      <c r="S29" s="1"/>
      <c r="T29" s="1"/>
      <c r="U29" s="1"/>
      <c r="V29" s="1"/>
      <c r="W29" s="1"/>
    </row>
    <row r="30" spans="1:23" ht="9" customHeight="1">
      <c r="A30" s="1"/>
      <c r="B30" s="10"/>
      <c r="C30" s="26"/>
      <c r="D30" s="26"/>
      <c r="E30" s="26"/>
      <c r="F30" s="26"/>
      <c r="G30" s="2"/>
      <c r="H30" s="2"/>
      <c r="I30" s="10"/>
      <c r="J30" s="27"/>
      <c r="K30" s="27"/>
      <c r="L30" s="27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</row>
    <row r="31" spans="1:23" ht="20.25" customHeight="1">
      <c r="A31" s="1"/>
      <c r="B31" s="28" t="s">
        <v>0</v>
      </c>
      <c r="C31" s="26"/>
      <c r="D31" s="26"/>
      <c r="E31" s="26"/>
      <c r="F31" s="26"/>
      <c r="G31" s="2"/>
      <c r="H31" s="2"/>
      <c r="I31" s="29" t="str">
        <f>B31</f>
        <v xml:space="preserve"> </v>
      </c>
      <c r="J31" s="27"/>
      <c r="K31" s="27"/>
      <c r="L31" s="27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</row>
    <row r="32" spans="1:23" ht="23.25" customHeight="1">
      <c r="A32" s="1"/>
      <c r="B32" s="14"/>
      <c r="C32" s="30"/>
      <c r="D32" s="30"/>
      <c r="E32" s="30"/>
      <c r="F32" s="30"/>
      <c r="G32" s="2"/>
      <c r="H32" s="2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</row>
    <row r="33" spans="1:23" ht="23.25" customHeight="1">
      <c r="A33" s="6"/>
      <c r="B33" s="7" t="s">
        <v>20</v>
      </c>
      <c r="C33" s="31"/>
      <c r="D33" s="31"/>
      <c r="E33" s="31"/>
      <c r="F33" s="31"/>
      <c r="G33" s="7"/>
      <c r="H33" s="7"/>
      <c r="I33" s="7"/>
      <c r="J33" s="7"/>
      <c r="K33" s="7"/>
      <c r="L33" s="7"/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ht="8.25" customHeight="1">
      <c r="A34" s="1"/>
      <c r="B34" s="1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</row>
    <row r="35" spans="1:23" ht="23.25" customHeight="1">
      <c r="A35" s="6"/>
      <c r="B35" s="8" t="str">
        <f>B8</f>
        <v>En milliers d'euros</v>
      </c>
      <c r="C35" s="9">
        <f>C8</f>
        <v>2013</v>
      </c>
      <c r="D35" s="9">
        <f>D8</f>
        <v>2014</v>
      </c>
      <c r="E35" s="9">
        <f>E8</f>
        <v>2015</v>
      </c>
      <c r="F35" s="9">
        <f>F8</f>
        <v>2016</v>
      </c>
      <c r="G35" s="7"/>
      <c r="H35" s="7"/>
      <c r="I35" s="2"/>
      <c r="J35" s="2"/>
      <c r="K35" s="2"/>
      <c r="L35" s="2"/>
      <c r="M35" s="2"/>
      <c r="N35" s="7"/>
      <c r="O35" s="7"/>
      <c r="P35" s="6"/>
      <c r="Q35" s="6"/>
      <c r="R35" s="6"/>
      <c r="S35" s="6"/>
      <c r="T35" s="6"/>
      <c r="U35" s="6"/>
      <c r="V35" s="6"/>
      <c r="W35" s="6"/>
    </row>
    <row r="36" spans="1:23" ht="23.25" customHeight="1">
      <c r="A36" s="1"/>
      <c r="B36" s="14" t="s">
        <v>21</v>
      </c>
      <c r="C36" s="16">
        <f>C29</f>
        <v>13415.03800000001</v>
      </c>
      <c r="D36" s="16">
        <f>D29</f>
        <v>8131.6940000000013</v>
      </c>
      <c r="E36" s="16">
        <f>E29</f>
        <v>7768.8339999999953</v>
      </c>
      <c r="F36" s="16">
        <f>F29</f>
        <v>6889.224000000002</v>
      </c>
      <c r="G36" s="2"/>
      <c r="H36" s="2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</row>
    <row r="37" spans="1:23" ht="23.25" customHeight="1">
      <c r="A37" s="1"/>
      <c r="B37" s="85" t="s">
        <v>91</v>
      </c>
      <c r="C37" s="16">
        <f>C22</f>
        <v>407.10399999999998</v>
      </c>
      <c r="D37" s="16">
        <f>D22</f>
        <v>370.94799999999998</v>
      </c>
      <c r="E37" s="16">
        <f>E22</f>
        <v>340.46600000000001</v>
      </c>
      <c r="F37" s="16">
        <f>F22</f>
        <v>350.16300000000001</v>
      </c>
      <c r="G37" s="2"/>
      <c r="H37" s="2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</row>
    <row r="38" spans="1:23" ht="23.25" customHeight="1">
      <c r="A38" s="1"/>
      <c r="B38" s="14" t="s">
        <v>22</v>
      </c>
      <c r="C38" s="16">
        <v>-5</v>
      </c>
      <c r="D38" s="16">
        <v>-8</v>
      </c>
      <c r="E38" s="16">
        <v>-26</v>
      </c>
      <c r="F38" s="16">
        <v>-26</v>
      </c>
      <c r="G38" s="2"/>
      <c r="H38" s="2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</row>
    <row r="39" spans="1:23" ht="23.25" customHeight="1">
      <c r="A39" s="1"/>
      <c r="B39" s="18" t="s">
        <v>23</v>
      </c>
      <c r="C39" s="19">
        <f>C36+C37+C38</f>
        <v>13817.142000000009</v>
      </c>
      <c r="D39" s="19">
        <f>D36+D37+D38</f>
        <v>8494.6420000000016</v>
      </c>
      <c r="E39" s="19">
        <f>E36+E37+E38</f>
        <v>8083.2999999999956</v>
      </c>
      <c r="F39" s="19">
        <f>F36+F37+F38</f>
        <v>7213.3870000000024</v>
      </c>
      <c r="G39" s="2"/>
      <c r="H39" s="2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</row>
    <row r="40" spans="1:23" ht="23.25" customHeight="1">
      <c r="A40" s="1"/>
      <c r="B40" s="14" t="s">
        <v>24</v>
      </c>
      <c r="C40" s="80">
        <f>C67-7403.714</f>
        <v>-8853.6890000000039</v>
      </c>
      <c r="D40" s="16">
        <f t="shared" ref="D40" si="25">(D70+D67-C67-C70)</f>
        <v>7172.7900000000036</v>
      </c>
      <c r="E40" s="16">
        <f t="shared" ref="E40:F40" si="26">(E70+E67-D67-D70)</f>
        <v>-6790.9069999999992</v>
      </c>
      <c r="F40" s="16">
        <f t="shared" si="26"/>
        <v>4601.6829999999991</v>
      </c>
      <c r="G40" s="2"/>
      <c r="H40" s="2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</row>
    <row r="41" spans="1:23" ht="23.25" customHeight="1">
      <c r="A41" s="1"/>
      <c r="B41" s="18" t="s">
        <v>25</v>
      </c>
      <c r="C41" s="19">
        <f t="shared" ref="C41:F41" si="27">C39-C40</f>
        <v>22670.831000000013</v>
      </c>
      <c r="D41" s="19">
        <f t="shared" si="27"/>
        <v>1321.851999999998</v>
      </c>
      <c r="E41" s="19">
        <f t="shared" si="27"/>
        <v>14874.206999999995</v>
      </c>
      <c r="F41" s="19">
        <f t="shared" si="27"/>
        <v>2611.7040000000034</v>
      </c>
      <c r="G41" s="33"/>
      <c r="H41" s="33"/>
      <c r="I41" s="2"/>
      <c r="J41" s="2"/>
      <c r="K41" s="2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</row>
    <row r="42" spans="1:23" ht="23.25" customHeight="1">
      <c r="A42" s="1"/>
      <c r="B42" s="14" t="s">
        <v>26</v>
      </c>
      <c r="C42" s="16">
        <v>217</v>
      </c>
      <c r="D42" s="16">
        <v>307</v>
      </c>
      <c r="E42" s="16">
        <v>522</v>
      </c>
      <c r="F42" s="16">
        <v>339</v>
      </c>
      <c r="G42" s="2"/>
      <c r="H42" s="2"/>
      <c r="I42" s="2"/>
      <c r="J42" s="3"/>
      <c r="K42" s="3"/>
      <c r="L42" s="3"/>
      <c r="M42" s="3"/>
      <c r="N42" s="2"/>
      <c r="O42" s="2"/>
      <c r="P42" s="1"/>
      <c r="Q42" s="1"/>
      <c r="R42" s="1"/>
      <c r="S42" s="1"/>
      <c r="T42" s="1"/>
      <c r="U42" s="1"/>
      <c r="V42" s="1"/>
      <c r="W42" s="1"/>
    </row>
    <row r="43" spans="1:23" ht="23.25" customHeight="1">
      <c r="A43" s="1"/>
      <c r="B43" s="14" t="s">
        <v>27</v>
      </c>
      <c r="C43" s="16">
        <v>5</v>
      </c>
      <c r="D43" s="16">
        <v>15</v>
      </c>
      <c r="E43" s="16">
        <v>28</v>
      </c>
      <c r="F43" s="16">
        <v>33</v>
      </c>
      <c r="G43" s="2"/>
      <c r="H43" s="2"/>
      <c r="I43" s="2"/>
      <c r="J43" s="3"/>
      <c r="K43" s="3"/>
      <c r="L43" s="3"/>
      <c r="M43" s="3"/>
      <c r="N43" s="2"/>
      <c r="O43" s="2"/>
      <c r="P43" s="1"/>
      <c r="Q43" s="1"/>
      <c r="R43" s="1"/>
      <c r="S43" s="1"/>
      <c r="T43" s="1"/>
      <c r="U43" s="1"/>
      <c r="V43" s="1"/>
      <c r="W43" s="1"/>
    </row>
    <row r="44" spans="1:23" ht="23.25" customHeight="1">
      <c r="A44" s="1"/>
      <c r="B44" s="68" t="s">
        <v>111</v>
      </c>
      <c r="C44" s="16">
        <v>11</v>
      </c>
      <c r="D44" s="16">
        <v>17</v>
      </c>
      <c r="E44" s="16">
        <v>3</v>
      </c>
      <c r="F44" s="16">
        <v>-14</v>
      </c>
      <c r="G44" s="2"/>
      <c r="H44" s="2"/>
      <c r="I44" s="2"/>
      <c r="J44" s="2"/>
      <c r="K44" s="2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</row>
    <row r="45" spans="1:23" ht="23.25" customHeight="1">
      <c r="A45" s="1"/>
      <c r="B45" s="18" t="s">
        <v>28</v>
      </c>
      <c r="C45" s="19">
        <f t="shared" ref="C45:E45" si="28">-C42+C43-C44</f>
        <v>-223</v>
      </c>
      <c r="D45" s="19">
        <f t="shared" si="28"/>
        <v>-309</v>
      </c>
      <c r="E45" s="19">
        <f t="shared" si="28"/>
        <v>-497</v>
      </c>
      <c r="F45" s="19">
        <f>-F42+F43-F44</f>
        <v>-292</v>
      </c>
      <c r="G45" s="2"/>
      <c r="H45" s="2"/>
      <c r="I45" s="2"/>
      <c r="J45" s="2"/>
      <c r="K45" s="2"/>
      <c r="L45" s="2"/>
      <c r="M45" s="2"/>
      <c r="N45" s="2"/>
      <c r="O45" s="2"/>
      <c r="P45" s="1"/>
      <c r="Q45" s="1"/>
      <c r="R45" s="1"/>
      <c r="S45" s="1"/>
      <c r="T45" s="1"/>
      <c r="U45" s="1"/>
      <c r="V45" s="1"/>
      <c r="W45" s="1"/>
    </row>
    <row r="46" spans="1:23" ht="23.25" customHeight="1">
      <c r="A46" s="1"/>
      <c r="B46" s="18" t="s">
        <v>29</v>
      </c>
      <c r="C46" s="19">
        <f t="shared" ref="C46:F46" si="29">+C41+C45</f>
        <v>22447.831000000013</v>
      </c>
      <c r="D46" s="19">
        <f t="shared" si="29"/>
        <v>1012.851999999998</v>
      </c>
      <c r="E46" s="19">
        <f t="shared" si="29"/>
        <v>14377.206999999995</v>
      </c>
      <c r="F46" s="19">
        <f t="shared" si="29"/>
        <v>2319.7040000000034</v>
      </c>
      <c r="G46" s="2"/>
      <c r="H46" s="2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</row>
    <row r="47" spans="1:23" ht="23.25" customHeight="1">
      <c r="A47" s="1"/>
      <c r="B47" s="14" t="s">
        <v>30</v>
      </c>
      <c r="C47" s="16">
        <v>0</v>
      </c>
      <c r="D47" s="16">
        <v>0</v>
      </c>
      <c r="E47" s="16">
        <v>0</v>
      </c>
      <c r="F47" s="16">
        <v>0</v>
      </c>
      <c r="G47" s="33"/>
      <c r="H47" s="33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</row>
    <row r="48" spans="1:23" ht="23.25" customHeight="1">
      <c r="A48" s="1"/>
      <c r="B48" s="14" t="s">
        <v>31</v>
      </c>
      <c r="C48" s="16">
        <v>2866</v>
      </c>
      <c r="D48" s="16">
        <v>4003</v>
      </c>
      <c r="E48" s="16">
        <v>2508</v>
      </c>
      <c r="F48" s="16">
        <v>2508</v>
      </c>
      <c r="G48" s="33"/>
      <c r="H48" s="33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</row>
    <row r="49" spans="1:23" ht="23.25" customHeight="1">
      <c r="A49" s="1"/>
      <c r="B49" s="18" t="s">
        <v>32</v>
      </c>
      <c r="C49" s="19">
        <f>C46+C47-C48</f>
        <v>19581.831000000013</v>
      </c>
      <c r="D49" s="19">
        <f>D46+D47-D48</f>
        <v>-2990.148000000002</v>
      </c>
      <c r="E49" s="19">
        <f>E46+E47-E48</f>
        <v>11869.206999999995</v>
      </c>
      <c r="F49" s="19">
        <f>F46+F47-F48</f>
        <v>-188.29599999999664</v>
      </c>
      <c r="G49" s="33"/>
      <c r="H49" s="33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</row>
    <row r="50" spans="1:23" ht="23.25" hidden="1" customHeight="1">
      <c r="A50" s="1"/>
      <c r="B50" s="34" t="s">
        <v>33</v>
      </c>
      <c r="C50" s="35" t="e">
        <f>-(C81+#REF!-B81-#REF!)</f>
        <v>#REF!</v>
      </c>
      <c r="D50" s="35">
        <f>D81-C81</f>
        <v>2990.5999999999913</v>
      </c>
      <c r="E50" s="35">
        <f>E81-D81</f>
        <v>-11867.650999999991</v>
      </c>
      <c r="F50" s="35">
        <f>F81-E81</f>
        <v>190.72699999999895</v>
      </c>
      <c r="G50" s="33"/>
      <c r="H50" s="33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</row>
    <row r="51" spans="1:23" ht="23.25" customHeight="1">
      <c r="A51" s="1"/>
      <c r="B51" s="34"/>
      <c r="C51" s="35"/>
      <c r="D51" s="35"/>
      <c r="E51" s="35"/>
      <c r="F51" s="35"/>
      <c r="G51" s="2"/>
      <c r="H51" s="2"/>
      <c r="I51" s="2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</row>
    <row r="52" spans="1:23" ht="23.25" customHeight="1">
      <c r="A52" s="6"/>
      <c r="B52" s="7" t="s">
        <v>34</v>
      </c>
      <c r="C52" s="2"/>
      <c r="D52" s="2"/>
      <c r="E52" s="2"/>
      <c r="F52" s="78"/>
      <c r="G52" s="36"/>
      <c r="H52" s="36"/>
      <c r="I52" s="2"/>
      <c r="J52" s="2"/>
      <c r="K52" s="2"/>
      <c r="L52" s="2"/>
      <c r="M52" s="2"/>
      <c r="N52" s="7"/>
      <c r="O52" s="7"/>
      <c r="P52" s="6"/>
      <c r="Q52" s="6"/>
      <c r="R52" s="6"/>
      <c r="S52" s="6"/>
      <c r="T52" s="6"/>
      <c r="U52" s="6"/>
      <c r="V52" s="6"/>
      <c r="W52" s="6"/>
    </row>
    <row r="53" spans="1:23" ht="18" customHeight="1">
      <c r="A53" s="1"/>
      <c r="B53" s="8" t="str">
        <f>+B8</f>
        <v>En milliers d'euros</v>
      </c>
      <c r="C53" s="9">
        <f>C8</f>
        <v>2013</v>
      </c>
      <c r="D53" s="9">
        <f>D8</f>
        <v>2014</v>
      </c>
      <c r="E53" s="9">
        <f>E8</f>
        <v>2015</v>
      </c>
      <c r="F53" s="9">
        <f>F8</f>
        <v>2016</v>
      </c>
      <c r="G53" s="2"/>
      <c r="H53" s="2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</row>
    <row r="54" spans="1:23" ht="23.25" customHeight="1">
      <c r="A54" s="1"/>
      <c r="B54" s="14" t="s">
        <v>35</v>
      </c>
      <c r="C54" s="15">
        <v>0</v>
      </c>
      <c r="D54" s="15">
        <v>0</v>
      </c>
      <c r="E54" s="15">
        <v>0</v>
      </c>
      <c r="F54" s="16">
        <v>0</v>
      </c>
      <c r="G54" s="33"/>
      <c r="H54" s="33"/>
      <c r="I54" s="2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</row>
    <row r="55" spans="1:23" ht="23.25" customHeight="1">
      <c r="A55" s="1"/>
      <c r="B55" s="68" t="s">
        <v>98</v>
      </c>
      <c r="C55" s="16">
        <v>19.762</v>
      </c>
      <c r="D55" s="16">
        <v>12.125999999999999</v>
      </c>
      <c r="E55" s="16">
        <v>12.375</v>
      </c>
      <c r="F55" s="16">
        <v>5.3319999999999999</v>
      </c>
      <c r="G55" s="33"/>
      <c r="H55" s="33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</row>
    <row r="56" spans="1:23" ht="23.25" customHeight="1">
      <c r="A56" s="1"/>
      <c r="B56" s="14" t="s">
        <v>36</v>
      </c>
      <c r="C56" s="15">
        <v>0</v>
      </c>
      <c r="D56" s="15">
        <v>0</v>
      </c>
      <c r="E56" s="15">
        <v>0</v>
      </c>
      <c r="F56" s="16">
        <v>0</v>
      </c>
      <c r="G56" s="33"/>
      <c r="H56" s="33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</row>
    <row r="57" spans="1:23" ht="23.25" customHeight="1">
      <c r="A57" s="1"/>
      <c r="B57" s="14" t="s">
        <v>37</v>
      </c>
      <c r="C57" s="15">
        <v>1155.2819999999999</v>
      </c>
      <c r="D57" s="16">
        <v>1092.2070000000001</v>
      </c>
      <c r="E57" s="16">
        <v>1272.623</v>
      </c>
      <c r="F57" s="16">
        <v>1262.134</v>
      </c>
      <c r="G57" s="33"/>
      <c r="H57" s="33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</row>
    <row r="58" spans="1:23" ht="23.25" customHeight="1">
      <c r="A58" s="1"/>
      <c r="B58" s="14" t="s">
        <v>38</v>
      </c>
      <c r="C58" s="15">
        <v>131.88999999999999</v>
      </c>
      <c r="D58" s="15">
        <v>149.05000000000001</v>
      </c>
      <c r="E58" s="15">
        <v>152.50299999999999</v>
      </c>
      <c r="F58" s="16">
        <v>141.19300000000001</v>
      </c>
      <c r="G58" s="33"/>
      <c r="H58" s="33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</row>
    <row r="59" spans="1:23" ht="23.25" customHeight="1">
      <c r="A59" s="1"/>
      <c r="B59" s="14" t="s">
        <v>39</v>
      </c>
      <c r="C59" s="15">
        <v>0</v>
      </c>
      <c r="D59" s="15">
        <v>0</v>
      </c>
      <c r="E59" s="15">
        <v>0</v>
      </c>
      <c r="F59" s="16">
        <v>0</v>
      </c>
      <c r="G59" s="33"/>
      <c r="H59" s="33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</row>
    <row r="60" spans="1:23" ht="23.25" customHeight="1">
      <c r="A60" s="1"/>
      <c r="B60" s="10" t="s">
        <v>40</v>
      </c>
      <c r="C60" s="12">
        <f>SUM(C54:C59)</f>
        <v>1306.9339999999997</v>
      </c>
      <c r="D60" s="12">
        <f>SUM(D54:D59)</f>
        <v>1253.383</v>
      </c>
      <c r="E60" s="12">
        <f>SUM(E54:E59)</f>
        <v>1437.501</v>
      </c>
      <c r="F60" s="12">
        <f>SUM(F54:F59)</f>
        <v>1408.6590000000001</v>
      </c>
      <c r="G60" s="33"/>
      <c r="H60" s="33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</row>
    <row r="61" spans="1:23" ht="23.25" customHeight="1">
      <c r="A61" s="1"/>
      <c r="B61" s="86" t="s">
        <v>107</v>
      </c>
      <c r="C61" s="15">
        <v>3924.8510000000001</v>
      </c>
      <c r="D61" s="15">
        <v>4318.5349999999999</v>
      </c>
      <c r="E61" s="15">
        <v>4160.8389999999999</v>
      </c>
      <c r="F61" s="16">
        <v>3583.9670000000001</v>
      </c>
      <c r="G61" s="33"/>
      <c r="H61" s="33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</row>
    <row r="62" spans="1:23" ht="23.25" customHeight="1">
      <c r="A62" s="1"/>
      <c r="B62" s="85" t="s">
        <v>108</v>
      </c>
      <c r="C62" s="16">
        <v>6242.2759999999998</v>
      </c>
      <c r="D62" s="16">
        <v>5970.2269999999999</v>
      </c>
      <c r="E62" s="16">
        <v>5760.0590000000002</v>
      </c>
      <c r="F62" s="16">
        <v>4463.1120000000001</v>
      </c>
      <c r="G62" s="33"/>
      <c r="H62" s="33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</row>
    <row r="63" spans="1:23" ht="23.25" customHeight="1">
      <c r="A63" s="1"/>
      <c r="B63" s="85" t="s">
        <v>100</v>
      </c>
      <c r="C63" s="16">
        <v>19778.547999999999</v>
      </c>
      <c r="D63" s="16">
        <v>18769.955999999998</v>
      </c>
      <c r="E63" s="16">
        <f>13905.26</f>
        <v>13905.26</v>
      </c>
      <c r="F63" s="16">
        <f>16535.043</f>
        <v>16535.043000000001</v>
      </c>
      <c r="G63" s="2"/>
      <c r="H63" s="2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</row>
    <row r="64" spans="1:23" ht="23.25" customHeight="1">
      <c r="A64" s="1"/>
      <c r="B64" s="86" t="s">
        <v>41</v>
      </c>
      <c r="C64" s="16">
        <f>414.195+631.687-0</f>
        <v>1045.8820000000001</v>
      </c>
      <c r="D64" s="16">
        <f>493.885+4535.716-1788.095</f>
        <v>3241.5060000000003</v>
      </c>
      <c r="E64" s="16">
        <f>1241.978+643.74-87.229</f>
        <v>1798.489</v>
      </c>
      <c r="F64" s="16">
        <f>1167.084+2236.892-87.229</f>
        <v>3316.7469999999998</v>
      </c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</row>
    <row r="65" spans="1:23" ht="23.25" customHeight="1">
      <c r="A65" s="1"/>
      <c r="B65" s="86" t="s">
        <v>42</v>
      </c>
      <c r="C65" s="15">
        <v>10125.098</v>
      </c>
      <c r="D65" s="15">
        <v>7137.9620000000004</v>
      </c>
      <c r="E65" s="15">
        <v>9682.3209999999999</v>
      </c>
      <c r="F65" s="16">
        <f>7438.3</f>
        <v>7438.3</v>
      </c>
      <c r="G65" s="2"/>
      <c r="H65" s="2"/>
      <c r="I65" s="2"/>
      <c r="J65" s="2"/>
      <c r="K65" s="2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</row>
    <row r="66" spans="1:23" ht="23.25" customHeight="1">
      <c r="A66" s="1"/>
      <c r="B66" s="86" t="s">
        <v>43</v>
      </c>
      <c r="C66" s="16">
        <f>7593.064+295.359+12838.988+788.788+800.235</f>
        <v>22316.434000000001</v>
      </c>
      <c r="D66" s="16">
        <f>5157.729+987.114+11967.956+574.126+752.522</f>
        <v>19439.447</v>
      </c>
      <c r="E66" s="16">
        <f>4932.149+258.452+10301.788+539.36+978.669</f>
        <v>17010.418000000001</v>
      </c>
      <c r="F66" s="16">
        <f>4416.406+232.395+11212.934+539.36+525.883</f>
        <v>16926.978000000003</v>
      </c>
      <c r="G66" s="2"/>
      <c r="H66" s="2"/>
      <c r="I66" s="2"/>
      <c r="J66" s="2"/>
      <c r="K66" s="2"/>
      <c r="L66" s="2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</row>
    <row r="67" spans="1:23" ht="23.25" customHeight="1">
      <c r="A67" s="1"/>
      <c r="B67" s="10" t="s">
        <v>44</v>
      </c>
      <c r="C67" s="12">
        <f>+C61+C63-C65+C64-C66+C62</f>
        <v>-1449.975000000004</v>
      </c>
      <c r="D67" s="12">
        <f t="shared" ref="D67:F67" si="30">+D61+D63-D65+D64-D66+D62</f>
        <v>5722.8149999999996</v>
      </c>
      <c r="E67" s="12">
        <f t="shared" si="30"/>
        <v>-1068.0919999999996</v>
      </c>
      <c r="F67" s="12">
        <f t="shared" si="30"/>
        <v>3533.5909999999994</v>
      </c>
      <c r="G67" s="2"/>
      <c r="H67" s="2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</row>
    <row r="68" spans="1:23" ht="23.25" hidden="1" customHeight="1">
      <c r="A68" s="1"/>
      <c r="B68" s="14" t="s">
        <v>101</v>
      </c>
      <c r="C68" s="16">
        <v>0</v>
      </c>
      <c r="D68" s="16">
        <v>0</v>
      </c>
      <c r="E68" s="16">
        <v>0</v>
      </c>
      <c r="F68" s="16">
        <v>0</v>
      </c>
      <c r="G68" s="2"/>
      <c r="H68" s="2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</row>
    <row r="69" spans="1:23" ht="23.25" hidden="1" customHeight="1">
      <c r="A69" s="1"/>
      <c r="B69" s="14" t="s">
        <v>45</v>
      </c>
      <c r="C69" s="16"/>
      <c r="D69" s="16"/>
      <c r="E69" s="16">
        <v>0</v>
      </c>
      <c r="F69" s="16">
        <v>0</v>
      </c>
      <c r="G69" s="2"/>
      <c r="H69" s="2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</row>
    <row r="70" spans="1:23" ht="23.25" hidden="1" customHeight="1">
      <c r="A70" s="1"/>
      <c r="B70" s="38" t="s">
        <v>46</v>
      </c>
      <c r="C70" s="32">
        <f t="shared" ref="C70:F70" si="31">C68-C69</f>
        <v>0</v>
      </c>
      <c r="D70" s="32">
        <f t="shared" si="31"/>
        <v>0</v>
      </c>
      <c r="E70" s="32">
        <f t="shared" si="31"/>
        <v>0</v>
      </c>
      <c r="F70" s="32">
        <f t="shared" si="31"/>
        <v>0</v>
      </c>
      <c r="G70" s="2"/>
      <c r="H70" s="2"/>
      <c r="I70" s="2"/>
      <c r="J70" s="2"/>
      <c r="K70" s="2"/>
      <c r="L70" s="2"/>
      <c r="M70" s="2"/>
      <c r="N70" s="2"/>
      <c r="O70" s="2"/>
      <c r="P70" s="1"/>
      <c r="Q70" s="40"/>
      <c r="R70" s="40"/>
      <c r="S70" s="40"/>
      <c r="T70" s="40"/>
      <c r="U70" s="40"/>
      <c r="V70" s="40"/>
      <c r="W70" s="40"/>
    </row>
    <row r="71" spans="1:23" ht="23.25" customHeight="1">
      <c r="A71" s="1"/>
      <c r="B71" s="18" t="s">
        <v>47</v>
      </c>
      <c r="C71" s="19">
        <f t="shared" ref="C71:F71" si="32">C60+C67+C70</f>
        <v>-143.04100000000426</v>
      </c>
      <c r="D71" s="19">
        <f t="shared" si="32"/>
        <v>6976.1979999999994</v>
      </c>
      <c r="E71" s="19">
        <f t="shared" si="32"/>
        <v>369.40900000000033</v>
      </c>
      <c r="F71" s="19">
        <f t="shared" si="32"/>
        <v>4942.25</v>
      </c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</row>
    <row r="72" spans="1:23" ht="23.25" customHeight="1">
      <c r="A72" s="1"/>
      <c r="B72" s="14" t="s">
        <v>48</v>
      </c>
      <c r="C72" s="15">
        <v>58774.285000000003</v>
      </c>
      <c r="D72" s="15">
        <v>62902.923000000003</v>
      </c>
      <c r="E72" s="15">
        <v>68163.785000000003</v>
      </c>
      <c r="F72" s="16">
        <v>72545.900999999998</v>
      </c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</row>
    <row r="73" spans="1:23" ht="23.25" hidden="1" customHeight="1">
      <c r="A73" s="1"/>
      <c r="B73" s="14" t="s">
        <v>49</v>
      </c>
      <c r="C73" s="15"/>
      <c r="D73" s="15">
        <v>0</v>
      </c>
      <c r="E73" s="15">
        <v>0</v>
      </c>
      <c r="F73" s="16">
        <v>0</v>
      </c>
      <c r="G73" s="41"/>
      <c r="H73" s="41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</row>
    <row r="74" spans="1:23" ht="23.25" hidden="1" customHeight="1">
      <c r="A74" s="1"/>
      <c r="B74" s="14" t="s">
        <v>50</v>
      </c>
      <c r="C74" s="15"/>
      <c r="D74" s="15">
        <v>0</v>
      </c>
      <c r="E74" s="15">
        <v>0</v>
      </c>
      <c r="F74" s="16">
        <v>0</v>
      </c>
      <c r="G74" s="2"/>
      <c r="H74" s="2"/>
      <c r="I74" s="2"/>
      <c r="J74" s="2"/>
      <c r="K74" s="2"/>
      <c r="L74" s="2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</row>
    <row r="75" spans="1:23" ht="13.5" customHeight="1">
      <c r="A75" s="1"/>
      <c r="B75" s="14" t="s">
        <v>51</v>
      </c>
      <c r="C75" s="15"/>
      <c r="D75" s="15">
        <v>0</v>
      </c>
      <c r="E75" s="15">
        <v>0</v>
      </c>
      <c r="F75" s="16">
        <v>0</v>
      </c>
      <c r="G75" s="2"/>
      <c r="H75" s="2"/>
      <c r="I75" s="2"/>
      <c r="J75" s="2"/>
      <c r="K75" s="2"/>
      <c r="L75" s="2"/>
      <c r="M75" s="2"/>
      <c r="N75" s="2"/>
      <c r="O75" s="2"/>
      <c r="P75" s="1"/>
      <c r="Q75" s="1"/>
      <c r="R75" s="1"/>
      <c r="S75" s="1"/>
      <c r="T75" s="1"/>
      <c r="U75" s="1"/>
      <c r="V75" s="1"/>
      <c r="W75" s="1"/>
    </row>
    <row r="76" spans="1:23" ht="23.25" customHeight="1">
      <c r="A76" s="1"/>
      <c r="B76" s="10" t="s">
        <v>52</v>
      </c>
      <c r="C76" s="12">
        <f t="shared" ref="C76:F76" si="33">+C72+C73-C74+C75</f>
        <v>58774.285000000003</v>
      </c>
      <c r="D76" s="12">
        <f t="shared" si="33"/>
        <v>62902.923000000003</v>
      </c>
      <c r="E76" s="12">
        <f t="shared" si="33"/>
        <v>68163.785000000003</v>
      </c>
      <c r="F76" s="12">
        <f t="shared" si="33"/>
        <v>72545.900999999998</v>
      </c>
      <c r="G76" s="2"/>
      <c r="H76" s="2"/>
      <c r="I76" s="2"/>
      <c r="J76" s="2"/>
      <c r="K76" s="2"/>
      <c r="L76" s="2"/>
      <c r="M76" s="2"/>
      <c r="N76" s="2"/>
      <c r="O76" s="2"/>
      <c r="P76" s="1"/>
      <c r="Q76" s="1"/>
      <c r="R76" s="1"/>
      <c r="S76" s="1"/>
      <c r="T76" s="1"/>
      <c r="U76" s="1"/>
      <c r="V76" s="1"/>
      <c r="W76" s="1"/>
    </row>
    <row r="77" spans="1:23" ht="23.25" customHeight="1">
      <c r="A77" s="1"/>
      <c r="B77" s="14" t="s">
        <v>103</v>
      </c>
      <c r="C77" s="15">
        <v>760.01900000000001</v>
      </c>
      <c r="D77" s="15">
        <v>607.95600000000002</v>
      </c>
      <c r="E77" s="15">
        <v>700.52599999999995</v>
      </c>
      <c r="F77" s="16">
        <v>671.28399999999999</v>
      </c>
      <c r="G77" s="2"/>
      <c r="H77" s="2"/>
      <c r="I77" s="2"/>
      <c r="J77" s="2"/>
      <c r="K77" s="2"/>
      <c r="L77" s="2"/>
      <c r="M77" s="2"/>
      <c r="N77" s="2"/>
      <c r="O77" s="2"/>
      <c r="P77" s="1"/>
      <c r="Q77" s="1"/>
      <c r="R77" s="1"/>
      <c r="S77" s="1"/>
      <c r="T77" s="1"/>
      <c r="U77" s="1"/>
      <c r="V77" s="1"/>
      <c r="W77" s="1"/>
    </row>
    <row r="78" spans="1:23" ht="23.25" customHeight="1">
      <c r="A78" s="1"/>
      <c r="B78" s="68" t="s">
        <v>104</v>
      </c>
      <c r="C78" s="15">
        <v>0</v>
      </c>
      <c r="D78" s="15">
        <v>0</v>
      </c>
      <c r="E78" s="15">
        <v>0</v>
      </c>
      <c r="F78" s="16">
        <v>0</v>
      </c>
      <c r="G78" s="2"/>
      <c r="H78" s="2"/>
      <c r="I78" s="2"/>
      <c r="J78" s="2"/>
      <c r="K78" s="2"/>
      <c r="L78" s="2"/>
      <c r="M78" s="2"/>
      <c r="N78" s="2"/>
      <c r="O78" s="2"/>
      <c r="P78" s="1"/>
      <c r="Q78" s="1"/>
      <c r="R78" s="1"/>
      <c r="S78" s="1"/>
      <c r="T78" s="1"/>
      <c r="U78" s="1"/>
      <c r="V78" s="1"/>
      <c r="W78" s="1"/>
    </row>
    <row r="79" spans="1:23" ht="23.25" customHeight="1">
      <c r="A79" s="1"/>
      <c r="B79" s="14" t="s">
        <v>53</v>
      </c>
      <c r="C79" s="15">
        <f>6.263+1.594</f>
        <v>7.8570000000000002</v>
      </c>
      <c r="D79" s="15">
        <f>3.232+1.639</f>
        <v>4.8710000000000004</v>
      </c>
      <c r="E79" s="15">
        <f>4.63+33.515</f>
        <v>38.145000000000003</v>
      </c>
      <c r="F79" s="16">
        <f>4.273+1.69</f>
        <v>5.9629999999999992</v>
      </c>
      <c r="G79" s="42"/>
      <c r="H79" s="42"/>
      <c r="I79" s="2"/>
      <c r="J79" s="2"/>
      <c r="K79" s="2"/>
      <c r="L79" s="2"/>
      <c r="M79" s="2"/>
      <c r="N79" s="2"/>
      <c r="O79" s="2"/>
      <c r="P79" s="1"/>
      <c r="Q79" s="1"/>
      <c r="R79" s="1"/>
      <c r="S79" s="1"/>
      <c r="T79" s="1"/>
      <c r="U79" s="1"/>
      <c r="V79" s="1"/>
      <c r="W79" s="1"/>
    </row>
    <row r="80" spans="1:23" ht="23.25" customHeight="1">
      <c r="A80" s="43"/>
      <c r="B80" s="14" t="s">
        <v>54</v>
      </c>
      <c r="C80" s="16">
        <f>7187.202+52498.001</f>
        <v>59685.202999999994</v>
      </c>
      <c r="D80" s="15">
        <f>1938.968+54600.586</f>
        <v>56539.554000000004</v>
      </c>
      <c r="E80" s="44">
        <f>1952.822+66580.227</f>
        <v>68533.048999999999</v>
      </c>
      <c r="F80" s="44">
        <f>194.581+68086.317</f>
        <v>68280.898000000001</v>
      </c>
      <c r="G80" s="45"/>
      <c r="H80" s="45"/>
      <c r="I80" s="2"/>
      <c r="J80" s="2"/>
      <c r="K80" s="2"/>
      <c r="L80" s="2"/>
      <c r="M80" s="2"/>
      <c r="N80" s="37"/>
      <c r="O80" s="37"/>
      <c r="P80" s="43"/>
      <c r="Q80" s="43"/>
      <c r="R80" s="43"/>
      <c r="S80" s="43"/>
      <c r="T80" s="43"/>
      <c r="U80" s="43"/>
      <c r="V80" s="43"/>
      <c r="W80" s="43"/>
    </row>
    <row r="81" spans="1:23" ht="23.25" customHeight="1">
      <c r="A81" s="1"/>
      <c r="B81" s="79" t="s">
        <v>55</v>
      </c>
      <c r="C81" s="12">
        <f t="shared" ref="C81:E81" si="34">C77+C78+C79-C80</f>
        <v>-58917.326999999997</v>
      </c>
      <c r="D81" s="12">
        <f t="shared" si="34"/>
        <v>-55926.727000000006</v>
      </c>
      <c r="E81" s="12">
        <f t="shared" si="34"/>
        <v>-67794.377999999997</v>
      </c>
      <c r="F81" s="12">
        <f>F77+F78+F79-F80</f>
        <v>-67603.650999999998</v>
      </c>
      <c r="G81" s="2"/>
      <c r="H81" s="2"/>
      <c r="I81" s="2"/>
      <c r="J81" s="2"/>
      <c r="K81" s="2"/>
      <c r="L81" s="2"/>
      <c r="M81" s="2"/>
      <c r="N81" s="2"/>
      <c r="O81" s="2"/>
      <c r="P81" s="1"/>
      <c r="Q81" s="1"/>
      <c r="R81" s="1"/>
      <c r="S81" s="1"/>
      <c r="T81" s="1"/>
      <c r="U81" s="1"/>
      <c r="V81" s="1"/>
      <c r="W81" s="1"/>
    </row>
    <row r="82" spans="1:23" ht="23.25" customHeight="1">
      <c r="A82" s="1"/>
      <c r="B82" s="18" t="s">
        <v>105</v>
      </c>
      <c r="C82" s="19">
        <f>C76+C81</f>
        <v>-143.041999999994</v>
      </c>
      <c r="D82" s="19">
        <f>D76+D81</f>
        <v>6976.1959999999963</v>
      </c>
      <c r="E82" s="19">
        <f>E76+E81</f>
        <v>369.40700000000652</v>
      </c>
      <c r="F82" s="19">
        <f>F76+F81</f>
        <v>4942.25</v>
      </c>
      <c r="G82" s="2"/>
      <c r="H82" s="2"/>
      <c r="I82" s="2"/>
      <c r="J82" s="2"/>
      <c r="K82" s="2"/>
      <c r="L82" s="2"/>
      <c r="M82" s="2"/>
      <c r="N82" s="2"/>
      <c r="O82" s="2"/>
      <c r="P82" s="1"/>
      <c r="Q82" s="1"/>
      <c r="R82" s="1"/>
      <c r="S82" s="1"/>
      <c r="T82" s="1"/>
      <c r="U82" s="1"/>
      <c r="V82" s="1"/>
      <c r="W82" s="1"/>
    </row>
    <row r="83" spans="1:23" ht="23.25" customHeight="1">
      <c r="A83" s="1"/>
      <c r="B83" s="34"/>
      <c r="C83" s="35"/>
      <c r="D83" s="35"/>
      <c r="E83" s="35"/>
      <c r="F83" s="35"/>
      <c r="G83" s="30"/>
      <c r="H83" s="30"/>
      <c r="I83" s="2"/>
      <c r="J83" s="2"/>
      <c r="K83" s="2"/>
      <c r="L83" s="2"/>
      <c r="M83" s="2"/>
      <c r="N83" s="2"/>
      <c r="O83" s="2"/>
      <c r="P83" s="1"/>
      <c r="Q83" s="1"/>
      <c r="R83" s="1"/>
      <c r="S83" s="1"/>
      <c r="T83" s="1"/>
      <c r="U83" s="1"/>
      <c r="V83" s="1"/>
      <c r="W83" s="1"/>
    </row>
    <row r="84" spans="1:23" ht="23.25" customHeight="1">
      <c r="A84" s="1"/>
      <c r="B84" s="34"/>
      <c r="C84" s="35"/>
      <c r="D84" s="35"/>
      <c r="E84" s="35"/>
      <c r="F84" s="35"/>
      <c r="G84" s="30"/>
      <c r="H84" s="30"/>
      <c r="I84" s="2"/>
      <c r="J84" s="2"/>
      <c r="K84" s="2"/>
      <c r="L84" s="2"/>
      <c r="M84" s="2"/>
      <c r="N84" s="2"/>
      <c r="O84" s="2"/>
      <c r="P84" s="1"/>
      <c r="Q84" s="1"/>
      <c r="R84" s="1"/>
      <c r="S84" s="1"/>
      <c r="T84" s="1"/>
      <c r="U84" s="1"/>
      <c r="V84" s="1"/>
      <c r="W84" s="1"/>
    </row>
    <row r="85" spans="1:23" ht="23.25" customHeight="1">
      <c r="A85" s="1"/>
      <c r="B85" s="34"/>
      <c r="C85" s="69" t="s">
        <v>0</v>
      </c>
      <c r="D85" s="70" t="s">
        <v>0</v>
      </c>
      <c r="E85" s="70" t="s">
        <v>0</v>
      </c>
      <c r="F85" s="35"/>
      <c r="G85" s="30"/>
      <c r="H85" s="30"/>
      <c r="I85" s="2"/>
      <c r="J85" s="2"/>
      <c r="K85" s="2"/>
      <c r="L85" s="2"/>
      <c r="M85" s="2"/>
      <c r="N85" s="2"/>
      <c r="O85" s="2"/>
      <c r="P85" s="1"/>
      <c r="Q85" s="1"/>
      <c r="R85" s="1"/>
      <c r="S85" s="1"/>
      <c r="T85" s="1"/>
      <c r="U85" s="1"/>
      <c r="V85" s="1"/>
      <c r="W85" s="1"/>
    </row>
    <row r="86" spans="1:23" ht="23.25" customHeight="1">
      <c r="A86" s="1"/>
      <c r="B86" s="1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</row>
    <row r="87" spans="1:23" ht="23.25" customHeight="1">
      <c r="A87" s="1"/>
      <c r="B87" s="46" t="s">
        <v>56</v>
      </c>
      <c r="C87" s="9">
        <f t="shared" ref="C87:F87" si="35">C95</f>
        <v>2013</v>
      </c>
      <c r="D87" s="9">
        <f t="shared" si="35"/>
        <v>2014</v>
      </c>
      <c r="E87" s="9">
        <f t="shared" si="35"/>
        <v>2015</v>
      </c>
      <c r="F87" s="9">
        <f t="shared" si="35"/>
        <v>2016</v>
      </c>
      <c r="G87" s="2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</row>
    <row r="88" spans="1:23" ht="23.25" customHeight="1">
      <c r="A88" s="1"/>
      <c r="B88" s="14" t="s">
        <v>106</v>
      </c>
      <c r="C88" s="15">
        <v>217</v>
      </c>
      <c r="D88" s="15">
        <v>215</v>
      </c>
      <c r="E88" s="15">
        <v>211</v>
      </c>
      <c r="F88" s="16">
        <v>209</v>
      </c>
      <c r="G88" s="2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</row>
    <row r="89" spans="1:23" ht="23.25" customHeight="1">
      <c r="A89" s="1"/>
      <c r="B89" s="14" t="s">
        <v>57</v>
      </c>
      <c r="C89" s="16">
        <f>C$9/C$88</f>
        <v>359.83671889400921</v>
      </c>
      <c r="D89" s="16">
        <f>D$9/D$88</f>
        <v>258.50686046511629</v>
      </c>
      <c r="E89" s="16">
        <f>E$9/E$88</f>
        <v>274.60991943127959</v>
      </c>
      <c r="F89" s="16">
        <f>F$9/F$88</f>
        <v>242.01359808612438</v>
      </c>
      <c r="G89" s="2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</row>
    <row r="90" spans="1:23" ht="23.25" customHeight="1">
      <c r="A90" s="1"/>
      <c r="B90" s="14" t="s">
        <v>58</v>
      </c>
      <c r="C90" s="16">
        <f>C$15/C$88</f>
        <v>176.00729953917056</v>
      </c>
      <c r="D90" s="16">
        <f>D$15/D$88</f>
        <v>130.44509302325582</v>
      </c>
      <c r="E90" s="16">
        <f>E$15/E$88</f>
        <v>132.49281990521325</v>
      </c>
      <c r="F90" s="16">
        <f>F$15/F$88</f>
        <v>115.71691866028709</v>
      </c>
      <c r="G90" s="2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</row>
    <row r="91" spans="1:23" ht="23.25" customHeight="1">
      <c r="A91" s="1"/>
      <c r="B91" s="14" t="s">
        <v>59</v>
      </c>
      <c r="C91" s="16">
        <f>C$23/C$88</f>
        <v>93.812129032258113</v>
      </c>
      <c r="D91" s="16">
        <f>D$23/D$88</f>
        <v>52.115790697674427</v>
      </c>
      <c r="E91" s="16">
        <f>E$23/E$88</f>
        <v>54.041355450236942</v>
      </c>
      <c r="F91" s="16">
        <f>F$23/F$88</f>
        <v>38.170095693779921</v>
      </c>
      <c r="G91" s="2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</row>
    <row r="92" spans="1:23" ht="23.25" customHeight="1">
      <c r="A92" s="1"/>
      <c r="B92" s="47" t="s">
        <v>60</v>
      </c>
      <c r="C92" s="48">
        <f>C$16/C$88</f>
        <v>76.759654377880196</v>
      </c>
      <c r="D92" s="48">
        <f>D$16/D$88</f>
        <v>70.893576744186035</v>
      </c>
      <c r="E92" s="48">
        <f>E$16/E$88</f>
        <v>72.65497630331754</v>
      </c>
      <c r="F92" s="48">
        <f>F$16/F$88</f>
        <v>71.353210526315792</v>
      </c>
      <c r="G92" s="2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</row>
    <row r="93" spans="1:23" ht="23.25" customHeight="1">
      <c r="A93" s="1"/>
      <c r="B93" s="14"/>
      <c r="C93" s="49"/>
      <c r="D93" s="49"/>
      <c r="E93" s="49"/>
      <c r="F93" s="49"/>
      <c r="G93" s="2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</row>
    <row r="94" spans="1:23" ht="23.25" customHeight="1">
      <c r="A94" s="1"/>
      <c r="B94" s="47" t="s">
        <v>0</v>
      </c>
      <c r="C94" s="50" t="s">
        <v>0</v>
      </c>
      <c r="D94" s="50" t="s">
        <v>0</v>
      </c>
      <c r="E94" s="50" t="s">
        <v>0</v>
      </c>
      <c r="F94" s="50" t="s">
        <v>0</v>
      </c>
      <c r="G94" s="2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</row>
    <row r="95" spans="1:23" ht="23.25" customHeight="1">
      <c r="A95" s="6"/>
      <c r="B95" s="46" t="s">
        <v>61</v>
      </c>
      <c r="C95" s="9">
        <f>C8</f>
        <v>2013</v>
      </c>
      <c r="D95" s="9">
        <f>D8</f>
        <v>2014</v>
      </c>
      <c r="E95" s="9">
        <f>E8</f>
        <v>2015</v>
      </c>
      <c r="F95" s="9">
        <f>F8</f>
        <v>2016</v>
      </c>
      <c r="G95" s="7"/>
      <c r="H95" s="7"/>
      <c r="I95" s="7"/>
      <c r="J95" s="7"/>
      <c r="K95" s="7"/>
      <c r="L95" s="7"/>
      <c r="M95" s="7"/>
      <c r="N95" s="7"/>
      <c r="O95" s="6"/>
      <c r="P95" s="6"/>
      <c r="Q95" s="6"/>
      <c r="R95" s="6"/>
      <c r="S95" s="6"/>
      <c r="T95" s="6"/>
      <c r="U95" s="6"/>
      <c r="V95" s="6"/>
      <c r="W95" s="6"/>
    </row>
    <row r="96" spans="1:23" ht="26.1" customHeight="1">
      <c r="A96" s="1"/>
      <c r="B96" s="14" t="s">
        <v>62</v>
      </c>
      <c r="C96" s="51">
        <f>C67/(1+C101)/C9*365</f>
        <v>-5.6670492536933272</v>
      </c>
      <c r="D96" s="51">
        <f>D67/(1+D101)/D9*365</f>
        <v>31.423956032337916</v>
      </c>
      <c r="E96" s="51">
        <f>E67/(1+E101)/E9*365</f>
        <v>-5.6068844320600224</v>
      </c>
      <c r="F96" s="51">
        <f>F67/(1+F101)/F9*365</f>
        <v>21.249163780890267</v>
      </c>
      <c r="G96" s="2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</row>
    <row r="97" spans="1:23" ht="23.25" customHeight="1">
      <c r="A97" s="1"/>
      <c r="B97" s="14" t="s">
        <v>63</v>
      </c>
      <c r="C97" s="51">
        <f>(C63/(1+C101))/C9*365</f>
        <v>77.302026367721723</v>
      </c>
      <c r="D97" s="51">
        <f>(D63/(1+D101))/D9*365</f>
        <v>103.0657590841076</v>
      </c>
      <c r="E97" s="51">
        <f>(E63/(1+E101))/E9*365</f>
        <v>72.994822372742206</v>
      </c>
      <c r="F97" s="51">
        <f>(F63/(1+F101))/F9*365</f>
        <v>99.433080068141223</v>
      </c>
      <c r="G97" s="2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</row>
    <row r="98" spans="1:23" ht="32.25" customHeight="1">
      <c r="A98" s="1"/>
      <c r="B98" s="14" t="s">
        <v>109</v>
      </c>
      <c r="C98" s="51">
        <f>C61/C12*365</f>
        <v>51.980824067172534</v>
      </c>
      <c r="D98" s="51">
        <f>D61/D12*365</f>
        <v>73.202031562506079</v>
      </c>
      <c r="E98" s="51">
        <f>E61/E12*365</f>
        <v>63.259673625243849</v>
      </c>
      <c r="F98" s="51">
        <f>F61/F12*365</f>
        <v>68.036827216978665</v>
      </c>
      <c r="G98" s="2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</row>
    <row r="99" spans="1:23" ht="23.25" customHeight="1">
      <c r="A99" s="1"/>
      <c r="B99" s="14" t="s">
        <v>112</v>
      </c>
      <c r="C99" s="51">
        <f>C62/C9*365</f>
        <v>29.179014475689996</v>
      </c>
      <c r="D99" s="51">
        <f>D62/D9*365</f>
        <v>39.20786331521947</v>
      </c>
      <c r="E99" s="51">
        <f>E62/E9*365</f>
        <v>36.284498116095499</v>
      </c>
      <c r="F99" s="51">
        <f>F62/F9*365</f>
        <v>32.206578925673085</v>
      </c>
      <c r="G99" s="2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</row>
    <row r="100" spans="1:23" ht="23.25" customHeight="1">
      <c r="A100" s="1"/>
      <c r="B100" s="14" t="s">
        <v>64</v>
      </c>
      <c r="C100" s="51">
        <f>C65/(C12+C14)/(1+C101)*365</f>
        <v>86.934175394051181</v>
      </c>
      <c r="D100" s="51">
        <f>D65/(D12+D14)/(1+D101)*365</f>
        <v>79.908035445775667</v>
      </c>
      <c r="E100" s="51">
        <f>E65/(E12+E14)/(1+E101)*365</f>
        <v>98.798740900377183</v>
      </c>
      <c r="F100" s="51">
        <f>F65/(F12+F14)/(1+F101)*365</f>
        <v>90.256958681215878</v>
      </c>
      <c r="G100" s="2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23.25" customHeight="1">
      <c r="A101" s="1"/>
      <c r="B101" s="47" t="s">
        <v>65</v>
      </c>
      <c r="C101" s="52">
        <v>0.19600000000000001</v>
      </c>
      <c r="D101" s="52">
        <v>0.19600000000000001</v>
      </c>
      <c r="E101" s="52">
        <v>0.2</v>
      </c>
      <c r="F101" s="52">
        <v>0.2</v>
      </c>
      <c r="G101" s="2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23.25" customHeight="1">
      <c r="A102" s="1"/>
      <c r="B102" s="14"/>
      <c r="C102" s="14"/>
      <c r="D102" s="14"/>
      <c r="E102" s="14"/>
      <c r="F102" s="14"/>
      <c r="G102" s="2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23.25" customHeight="1">
      <c r="A103" s="1"/>
      <c r="B103" s="1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23.25" customHeight="1">
      <c r="A104" s="1"/>
      <c r="B104" s="8" t="s">
        <v>66</v>
      </c>
      <c r="C104" s="9">
        <f t="shared" ref="C104:F104" si="36">C95</f>
        <v>2013</v>
      </c>
      <c r="D104" s="9">
        <f t="shared" si="36"/>
        <v>2014</v>
      </c>
      <c r="E104" s="9">
        <f t="shared" si="36"/>
        <v>2015</v>
      </c>
      <c r="F104" s="9">
        <f t="shared" si="36"/>
        <v>2016</v>
      </c>
      <c r="G104" s="2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23.25" customHeight="1">
      <c r="A105" s="1"/>
      <c r="B105" s="14" t="s">
        <v>67</v>
      </c>
      <c r="C105" s="53">
        <f>C81/C19</f>
        <v>-2.8374288973170136</v>
      </c>
      <c r="D105" s="53">
        <f>D81/D19</f>
        <v>-4.8313308153885632</v>
      </c>
      <c r="E105" s="53">
        <f>E81/E19</f>
        <v>-5.7730792445529309</v>
      </c>
      <c r="F105" s="53">
        <f>F81/F19</f>
        <v>-8.1179131653552385</v>
      </c>
      <c r="G105" s="2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23.25" customHeight="1">
      <c r="A106" s="1"/>
      <c r="B106" s="14" t="s">
        <v>68</v>
      </c>
      <c r="C106" s="53">
        <f>C81/(C134*1000)</f>
        <v>-0.61640310137392185</v>
      </c>
      <c r="D106" s="53">
        <f t="shared" ref="D106:F106" si="37">D81/(D134*1000)</f>
        <v>-0.66176176365745065</v>
      </c>
      <c r="E106" s="53">
        <f t="shared" si="37"/>
        <v>-0.75608855668792374</v>
      </c>
      <c r="F106" s="53">
        <f t="shared" si="37"/>
        <v>-0.66214412243585608</v>
      </c>
      <c r="G106" s="2"/>
      <c r="H106" s="2"/>
      <c r="I106" s="2"/>
      <c r="J106" s="2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23.25" customHeight="1">
      <c r="A107" s="1"/>
      <c r="B107" s="47" t="s">
        <v>69</v>
      </c>
      <c r="C107" s="54">
        <f t="shared" ref="C107:E107" si="38">C116</f>
        <v>-1.0024337514271759</v>
      </c>
      <c r="D107" s="54">
        <f t="shared" si="38"/>
        <v>-0.8890958374064748</v>
      </c>
      <c r="E107" s="54">
        <f t="shared" si="38"/>
        <v>-0.99458059730691295</v>
      </c>
      <c r="F107" s="54">
        <f t="shared" ref="F107" si="39">F116</f>
        <v>-0.93187416612276963</v>
      </c>
      <c r="G107" s="2"/>
      <c r="H107" s="2"/>
      <c r="I107" s="2"/>
      <c r="J107" s="2"/>
      <c r="K107" s="2"/>
      <c r="L107" s="2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23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23.25" customHeight="1">
      <c r="A109" s="1"/>
      <c r="B109" s="1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23.25" customHeight="1">
      <c r="A110" s="6"/>
      <c r="B110" s="46" t="s">
        <v>70</v>
      </c>
      <c r="C110" s="9">
        <f>C8</f>
        <v>2013</v>
      </c>
      <c r="D110" s="9">
        <f>D8</f>
        <v>2014</v>
      </c>
      <c r="E110" s="9">
        <f>E8</f>
        <v>2015</v>
      </c>
      <c r="F110" s="9">
        <f>F8</f>
        <v>2016</v>
      </c>
      <c r="G110" s="7"/>
      <c r="H110" s="7"/>
      <c r="I110" s="7"/>
      <c r="J110" s="7"/>
      <c r="K110" s="7"/>
      <c r="L110" s="7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24" customHeight="1">
      <c r="A111" s="1"/>
      <c r="B111" s="55" t="s">
        <v>71</v>
      </c>
      <c r="C111" s="17">
        <f>C23*(1-C119)/C9</f>
        <v>0.16983334161829847</v>
      </c>
      <c r="D111" s="17">
        <f>D23*(1-D119)/D9</f>
        <v>0.13776373246289986</v>
      </c>
      <c r="E111" s="17">
        <f>E23*(1-E119)/E9</f>
        <v>0.12845720282248582</v>
      </c>
      <c r="F111" s="17">
        <f>F23*(1-F119)/F9</f>
        <v>0.11536784245437293</v>
      </c>
      <c r="G111" s="2"/>
      <c r="H111" s="2"/>
      <c r="I111" s="2"/>
      <c r="J111" s="2"/>
      <c r="K111" s="2"/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23.25" customHeight="1">
      <c r="A112" s="1"/>
      <c r="B112" s="55" t="s">
        <v>72</v>
      </c>
      <c r="C112" s="17"/>
      <c r="D112" s="17"/>
      <c r="E112" s="17"/>
      <c r="F112" s="17"/>
      <c r="G112" s="2"/>
      <c r="H112" s="2"/>
      <c r="I112" s="2"/>
      <c r="J112" s="2"/>
      <c r="K112" s="2"/>
      <c r="L112" s="2"/>
      <c r="M112" s="2"/>
      <c r="N112" s="2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23.25" customHeight="1">
      <c r="A113" s="1"/>
      <c r="B113" s="55" t="s">
        <v>73</v>
      </c>
      <c r="C113" s="53">
        <f>C9/C71</f>
        <v>-545.88941632117837</v>
      </c>
      <c r="D113" s="53">
        <f>D9/D71</f>
        <v>7.9669434554466489</v>
      </c>
      <c r="E113" s="53">
        <f>E9/E71</f>
        <v>156.85241290818564</v>
      </c>
      <c r="F113" s="53">
        <f>F9/F71</f>
        <v>10.234375436289138</v>
      </c>
      <c r="G113" s="2"/>
      <c r="H113" s="2"/>
      <c r="I113" s="2"/>
      <c r="J113" s="2"/>
      <c r="K113" s="2"/>
      <c r="L113" s="2"/>
      <c r="M113" s="2"/>
      <c r="N113" s="2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23.25" customHeight="1">
      <c r="A114" s="1"/>
      <c r="B114" s="56" t="s">
        <v>74</v>
      </c>
      <c r="C114" s="84">
        <f t="shared" ref="C114:F114" si="40">C111*C113</f>
        <v>-92.710223727888248</v>
      </c>
      <c r="D114" s="84">
        <f t="shared" si="40"/>
        <v>1.097555866743203</v>
      </c>
      <c r="E114" s="84">
        <f t="shared" si="40"/>
        <v>20.148822218143096</v>
      </c>
      <c r="F114" s="84">
        <f t="shared" si="40"/>
        <v>1.1807178129527094</v>
      </c>
      <c r="G114" s="2"/>
      <c r="H114" s="2"/>
      <c r="I114" s="2"/>
      <c r="J114" s="2"/>
      <c r="K114" s="2"/>
      <c r="L114" s="2"/>
      <c r="M114" s="2"/>
      <c r="N114" s="2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23.25" customHeight="1">
      <c r="A115" s="1"/>
      <c r="B115" s="57" t="s">
        <v>110</v>
      </c>
      <c r="C115" s="17">
        <f>C24/C81*(1-C119)</f>
        <v>-8.2235478418144696E-4</v>
      </c>
      <c r="D115" s="17">
        <f>D24/D81*(1-D119)</f>
        <v>-4.7229427493186688E-4</v>
      </c>
      <c r="E115" s="17">
        <f>E24/E81*(1-E119)</f>
        <v>-6.6469757904576783E-4</v>
      </c>
      <c r="F115" s="17">
        <f>F24/F81*(1-F119)</f>
        <v>-4.4028055212943211E-4</v>
      </c>
      <c r="G115" s="2"/>
      <c r="H115" s="2"/>
      <c r="I115" s="2"/>
      <c r="J115" s="2"/>
      <c r="K115" s="2"/>
      <c r="L115" s="2"/>
      <c r="M115" s="2"/>
      <c r="N115" s="2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3.25" customHeight="1">
      <c r="A116" s="1"/>
      <c r="B116" s="14" t="s">
        <v>75</v>
      </c>
      <c r="C116" s="53">
        <f>C81/C76</f>
        <v>-1.0024337514271759</v>
      </c>
      <c r="D116" s="53">
        <f>D81/D76</f>
        <v>-0.8890958374064748</v>
      </c>
      <c r="E116" s="53">
        <f>E81/E76</f>
        <v>-0.99458059730691295</v>
      </c>
      <c r="F116" s="53">
        <f>F81/F76</f>
        <v>-0.93187416612276963</v>
      </c>
      <c r="G116" s="2"/>
      <c r="H116" s="2"/>
      <c r="I116" s="2"/>
      <c r="J116" s="2"/>
      <c r="K116" s="2"/>
      <c r="L116" s="2"/>
      <c r="M116" s="2"/>
      <c r="N116" s="2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24" customHeight="1">
      <c r="A117" s="58"/>
      <c r="B117" s="18" t="s">
        <v>115</v>
      </c>
      <c r="C117" s="20">
        <f>+(C29-C26)/C76</f>
        <v>0.2361958125054181</v>
      </c>
      <c r="D117" s="20">
        <f t="shared" ref="D117:F117" si="41">+(D29-D26)/D76</f>
        <v>0.12964947590750275</v>
      </c>
      <c r="E117" s="20">
        <f t="shared" si="41"/>
        <v>0.11692286453869888</v>
      </c>
      <c r="F117" s="20">
        <f t="shared" si="41"/>
        <v>8.8090573166911282E-2</v>
      </c>
      <c r="G117" s="2"/>
      <c r="H117" s="2"/>
      <c r="I117" s="2"/>
      <c r="J117" s="2"/>
      <c r="K117" s="2"/>
      <c r="L117" s="2"/>
      <c r="M117" s="2"/>
      <c r="N117" s="2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3.25" customHeight="1">
      <c r="A118" s="58"/>
      <c r="B118" s="14" t="s">
        <v>76</v>
      </c>
      <c r="C118" s="59">
        <f t="shared" ref="C118:F118" si="42">(C117-C114)/C117</f>
        <v>393.51425647421911</v>
      </c>
      <c r="D118" s="59">
        <f t="shared" si="42"/>
        <v>-7.4655634668839257</v>
      </c>
      <c r="E118" s="59">
        <f t="shared" si="42"/>
        <v>-171.32576620182175</v>
      </c>
      <c r="F118" s="59">
        <f t="shared" si="42"/>
        <v>-12.403452497868551</v>
      </c>
      <c r="G118" s="2"/>
      <c r="H118" s="2"/>
      <c r="I118" s="2"/>
      <c r="J118" s="2"/>
      <c r="K118" s="2"/>
      <c r="L118" s="2"/>
      <c r="M118" s="2"/>
      <c r="N118" s="2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1" customHeight="1">
      <c r="A119" s="1"/>
      <c r="B119" s="47" t="s">
        <v>77</v>
      </c>
      <c r="C119" s="60">
        <f>C28/C27</f>
        <v>0.34856747163557161</v>
      </c>
      <c r="D119" s="60">
        <f>D28/D27</f>
        <v>0.31665874223165869</v>
      </c>
      <c r="E119" s="60">
        <f>E28/E27</f>
        <v>0.34724764352120424</v>
      </c>
      <c r="F119" s="60">
        <f>F28/F27</f>
        <v>0.26852196337653461</v>
      </c>
      <c r="G119" s="2"/>
      <c r="H119" s="2"/>
      <c r="I119" s="2"/>
      <c r="J119" s="2"/>
      <c r="K119" s="2"/>
      <c r="L119" s="2"/>
      <c r="M119" s="2"/>
      <c r="N119" s="2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24" customHeight="1">
      <c r="A120" s="1"/>
      <c r="B120" s="14"/>
      <c r="C120" s="2"/>
      <c r="D120" s="2"/>
      <c r="E120" s="61"/>
      <c r="F120" s="61"/>
      <c r="G120" s="2"/>
      <c r="H120" s="2"/>
      <c r="I120" s="2"/>
      <c r="J120" s="2"/>
      <c r="K120" s="2"/>
      <c r="L120" s="2"/>
      <c r="M120" s="2"/>
      <c r="N120" s="2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23.25" customHeight="1">
      <c r="A121" s="1"/>
      <c r="B121" s="1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23.25" customHeight="1">
      <c r="A122" s="6"/>
      <c r="B122" s="46" t="s">
        <v>78</v>
      </c>
      <c r="C122" s="9">
        <f t="shared" ref="C122:F122" si="43">C110</f>
        <v>2013</v>
      </c>
      <c r="D122" s="9">
        <f t="shared" si="43"/>
        <v>2014</v>
      </c>
      <c r="E122" s="9">
        <f t="shared" si="43"/>
        <v>2015</v>
      </c>
      <c r="F122" s="9">
        <f t="shared" si="43"/>
        <v>2016</v>
      </c>
      <c r="G122" s="7"/>
      <c r="H122" s="7"/>
      <c r="I122" s="7"/>
      <c r="J122" s="7"/>
      <c r="K122" s="7"/>
      <c r="L122" s="7"/>
      <c r="M122" s="6"/>
      <c r="N122" s="6"/>
      <c r="O122" s="6"/>
      <c r="P122" s="6"/>
      <c r="Q122" s="6"/>
      <c r="R122" s="6"/>
      <c r="S122" s="6"/>
      <c r="T122" s="6"/>
      <c r="U122" s="6"/>
    </row>
    <row r="123" spans="1:23" ht="21.95" customHeight="1">
      <c r="A123" s="1"/>
      <c r="B123" s="14" t="s">
        <v>79</v>
      </c>
      <c r="C123" s="81">
        <v>89.15</v>
      </c>
      <c r="D123" s="81">
        <v>97</v>
      </c>
      <c r="E123" s="81">
        <v>82.26</v>
      </c>
      <c r="F123" s="81">
        <v>86.09</v>
      </c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  <c r="U123" s="1"/>
    </row>
    <row r="124" spans="1:23" ht="23.25" customHeight="1">
      <c r="A124" s="6"/>
      <c r="B124" s="14" t="s">
        <v>80</v>
      </c>
      <c r="C124" s="81">
        <v>64.12</v>
      </c>
      <c r="D124" s="81">
        <v>69</v>
      </c>
      <c r="E124" s="81">
        <v>67.75</v>
      </c>
      <c r="F124" s="81">
        <v>71.17</v>
      </c>
      <c r="G124" s="7"/>
      <c r="H124" s="7"/>
      <c r="I124" s="7"/>
      <c r="J124" s="7"/>
      <c r="K124" s="7"/>
      <c r="L124" s="7"/>
      <c r="M124" s="6"/>
      <c r="N124" s="6"/>
      <c r="O124" s="6"/>
      <c r="P124" s="6"/>
      <c r="Q124" s="6"/>
      <c r="R124" s="6"/>
      <c r="S124" s="6"/>
      <c r="T124" s="6"/>
      <c r="U124" s="6"/>
    </row>
    <row r="125" spans="1:23" ht="23.25" customHeight="1">
      <c r="A125" s="1"/>
      <c r="B125" s="63" t="s">
        <v>81</v>
      </c>
      <c r="C125" s="82">
        <v>79.95</v>
      </c>
      <c r="D125" s="82">
        <v>70.69</v>
      </c>
      <c r="E125" s="82">
        <v>75</v>
      </c>
      <c r="F125" s="82">
        <v>85.4</v>
      </c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  <c r="U125" s="1"/>
    </row>
    <row r="126" spans="1:23" ht="23.25" customHeight="1">
      <c r="A126" s="1"/>
      <c r="B126" s="14" t="s">
        <v>82</v>
      </c>
      <c r="C126" s="83">
        <v>1.1955279999999999</v>
      </c>
      <c r="D126" s="83">
        <v>1.1955279999999999</v>
      </c>
      <c r="E126" s="83">
        <v>1.1955279999999999</v>
      </c>
      <c r="F126" s="83">
        <v>1.1955279999999999</v>
      </c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  <c r="U126" s="1"/>
    </row>
    <row r="127" spans="1:23" ht="23.25" customHeight="1">
      <c r="A127" s="1"/>
      <c r="B127" s="64" t="s">
        <v>83</v>
      </c>
      <c r="C127" s="65">
        <f>(C29-C26)/(C126*1000)</f>
        <v>11.611806666175957</v>
      </c>
      <c r="D127" s="65">
        <f>(D29-D26)/(D126*1000)</f>
        <v>6.8215307378831787</v>
      </c>
      <c r="E127" s="65">
        <f>(E29-E26)/(E126*1000)</f>
        <v>6.6664310664409321</v>
      </c>
      <c r="F127" s="65">
        <f>(F29-F26)/(F126*1000)</f>
        <v>5.3454289652772689</v>
      </c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  <c r="U127" s="1"/>
    </row>
    <row r="128" spans="1:23" ht="23.25" customHeight="1">
      <c r="A128" s="1"/>
      <c r="B128" s="14" t="s">
        <v>84</v>
      </c>
      <c r="C128" s="62">
        <f t="shared" ref="C128:F128" si="44">C125/C127</f>
        <v>6.8852334781706652</v>
      </c>
      <c r="D128" s="62">
        <f t="shared" si="44"/>
        <v>10.362776730950587</v>
      </c>
      <c r="E128" s="62">
        <f t="shared" si="44"/>
        <v>11.250397589431751</v>
      </c>
      <c r="F128" s="62">
        <f t="shared" si="44"/>
        <v>15.976266929135084</v>
      </c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  <c r="U128" s="1"/>
    </row>
    <row r="129" spans="1:23" ht="23.25" customHeight="1">
      <c r="A129" s="1"/>
      <c r="B129" s="14" t="s">
        <v>85</v>
      </c>
      <c r="C129" s="62">
        <f>(C125*C126*1000+C81)/C19</f>
        <v>1.7657745761771524</v>
      </c>
      <c r="D129" s="62">
        <f>(D125*D126*1000+D81)/D19</f>
        <v>2.469379320365694</v>
      </c>
      <c r="E129" s="62">
        <f>(E125*E126*1000+E81)/E19</f>
        <v>1.8623745571050871</v>
      </c>
      <c r="F129" s="62">
        <f>(F125*F126*1000+F81)/F19</f>
        <v>4.1421264397560273</v>
      </c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  <c r="U129" s="1"/>
    </row>
    <row r="130" spans="1:23" ht="23.25" customHeight="1">
      <c r="A130" s="1"/>
      <c r="B130" s="14" t="s">
        <v>86</v>
      </c>
      <c r="C130" s="62">
        <f>(C125*C126*1000+C81)/C23</f>
        <v>1.8010865426105074</v>
      </c>
      <c r="D130" s="62">
        <f>(D125*D126*1000+D81)/D23</f>
        <v>2.5511303158128635</v>
      </c>
      <c r="E130" s="62">
        <f>(E125*E126*1000+E81)/E23</f>
        <v>1.9179818931017025</v>
      </c>
      <c r="F130" s="62">
        <f>(F125*F126*1000+F81)/F23</f>
        <v>4.3239390790405556</v>
      </c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  <c r="U130" s="1"/>
    </row>
    <row r="131" spans="1:23" ht="23.25" customHeight="1">
      <c r="A131" s="1"/>
      <c r="B131" s="64" t="s">
        <v>87</v>
      </c>
      <c r="C131" s="65">
        <v>3.35</v>
      </c>
      <c r="D131" s="65">
        <v>2.1</v>
      </c>
      <c r="E131" s="65">
        <v>2.1</v>
      </c>
      <c r="F131" s="65">
        <v>2.1</v>
      </c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  <c r="U131" s="1"/>
    </row>
    <row r="132" spans="1:23" ht="23.25" customHeight="1">
      <c r="A132" s="1"/>
      <c r="B132" s="14" t="s">
        <v>88</v>
      </c>
      <c r="C132" s="17">
        <f t="shared" ref="C132:F132" si="45">C131/C125</f>
        <v>4.1901188242651655E-2</v>
      </c>
      <c r="D132" s="17">
        <f t="shared" si="45"/>
        <v>2.9707172160135808E-2</v>
      </c>
      <c r="E132" s="17">
        <f t="shared" si="45"/>
        <v>2.8000000000000001E-2</v>
      </c>
      <c r="F132" s="17">
        <f t="shared" si="45"/>
        <v>2.4590163934426229E-2</v>
      </c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  <c r="U132" s="1"/>
    </row>
    <row r="133" spans="1:23" ht="23.25" customHeight="1">
      <c r="A133" s="1"/>
      <c r="B133" s="47" t="s">
        <v>89</v>
      </c>
      <c r="C133" s="59">
        <f t="shared" ref="C133:F133" si="46">C131/C127</f>
        <v>0.28849946406343624</v>
      </c>
      <c r="D133" s="59">
        <f t="shared" si="46"/>
        <v>0.30784879240339846</v>
      </c>
      <c r="E133" s="59">
        <f t="shared" si="46"/>
        <v>0.31501113250408902</v>
      </c>
      <c r="F133" s="59">
        <f t="shared" si="46"/>
        <v>0.39285902284758406</v>
      </c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  <c r="U133" s="1"/>
    </row>
    <row r="134" spans="1:23" ht="23.25" customHeight="1">
      <c r="A134" s="1"/>
      <c r="B134" s="64" t="s">
        <v>90</v>
      </c>
      <c r="C134" s="65">
        <f t="shared" ref="C134:F134" si="47">C125*C126</f>
        <v>95.582463599999997</v>
      </c>
      <c r="D134" s="66">
        <f t="shared" si="47"/>
        <v>84.51187431999999</v>
      </c>
      <c r="E134" s="66">
        <f t="shared" si="47"/>
        <v>89.664599999999993</v>
      </c>
      <c r="F134" s="65">
        <f t="shared" si="47"/>
        <v>102.0980912</v>
      </c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  <c r="U134" s="1"/>
    </row>
    <row r="135" spans="1:23" ht="23.25" customHeight="1">
      <c r="A135" s="1"/>
      <c r="B135" s="14" t="s">
        <v>113</v>
      </c>
      <c r="C135" s="91">
        <f>C76/1000</f>
        <v>58.774285000000006</v>
      </c>
      <c r="D135" s="44">
        <f t="shared" ref="D135:F135" si="48">D76/1000</f>
        <v>62.902923000000001</v>
      </c>
      <c r="E135" s="44">
        <f t="shared" si="48"/>
        <v>68.163785000000004</v>
      </c>
      <c r="F135" s="91">
        <f t="shared" si="48"/>
        <v>72.545901000000001</v>
      </c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  <c r="U135" s="1"/>
    </row>
    <row r="136" spans="1:23" ht="23.25" customHeight="1">
      <c r="A136" s="1"/>
      <c r="B136" s="47" t="s">
        <v>114</v>
      </c>
      <c r="C136" s="67">
        <f t="shared" ref="C136:F136" si="49">C134/C135</f>
        <v>1.6262633156660262</v>
      </c>
      <c r="D136" s="67">
        <f t="shared" si="49"/>
        <v>1.3435285721142083</v>
      </c>
      <c r="E136" s="67">
        <f t="shared" si="49"/>
        <v>1.3154287133556328</v>
      </c>
      <c r="F136" s="67">
        <f t="shared" si="49"/>
        <v>1.4073585108550792</v>
      </c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  <c r="U136" s="1"/>
    </row>
    <row r="137" spans="1:23" ht="44.1" customHeight="1">
      <c r="A137" s="1"/>
      <c r="B137" s="2"/>
      <c r="C137" s="39"/>
      <c r="D137" s="39"/>
      <c r="E137" s="39"/>
      <c r="F137" s="39"/>
      <c r="G137" s="2"/>
      <c r="H137" s="2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</row>
    <row r="138" spans="1:23" ht="23.25" customHeight="1">
      <c r="A138" s="1"/>
      <c r="B138" s="2"/>
      <c r="C138" s="39"/>
      <c r="D138" s="39"/>
      <c r="E138" s="39"/>
      <c r="F138" s="39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1"/>
      <c r="R138" s="1"/>
      <c r="S138" s="1"/>
      <c r="T138" s="1"/>
      <c r="U138" s="1"/>
      <c r="V138" s="1"/>
      <c r="W138" s="1"/>
    </row>
    <row r="139" spans="1:23" ht="23.25" customHeight="1">
      <c r="A139" s="1"/>
      <c r="B139" s="2"/>
      <c r="C139" s="9">
        <f>C$110</f>
        <v>2013</v>
      </c>
      <c r="D139" s="9">
        <f t="shared" ref="D139:F139" si="50">D$110</f>
        <v>2014</v>
      </c>
      <c r="E139" s="9">
        <f t="shared" si="50"/>
        <v>2015</v>
      </c>
      <c r="F139" s="9">
        <f t="shared" si="50"/>
        <v>2016</v>
      </c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1"/>
      <c r="R139" s="1"/>
      <c r="S139" s="1"/>
      <c r="T139" s="1"/>
      <c r="U139" s="1"/>
      <c r="V139" s="1"/>
      <c r="W139" s="1"/>
    </row>
    <row r="140" spans="1:23" ht="23.25" customHeight="1">
      <c r="A140" s="1"/>
      <c r="B140" s="2" t="s">
        <v>116</v>
      </c>
      <c r="C140" s="88">
        <f>(C80/1000)/C134</f>
        <v>0.62443675075979099</v>
      </c>
      <c r="D140" s="88">
        <f t="shared" ref="D140:F140" si="51">(D80/1000)/D134</f>
        <v>0.66901313519465688</v>
      </c>
      <c r="E140" s="88">
        <f t="shared" si="51"/>
        <v>0.76432671310639888</v>
      </c>
      <c r="F140" s="88">
        <f t="shared" si="51"/>
        <v>0.66877741980743322</v>
      </c>
      <c r="G140" s="2" t="s">
        <v>117</v>
      </c>
      <c r="H140" s="2"/>
      <c r="I140" s="2"/>
      <c r="J140" s="2"/>
      <c r="K140" s="2"/>
      <c r="L140" s="2"/>
      <c r="M140" s="2"/>
      <c r="N140" s="2"/>
      <c r="O140" s="2"/>
      <c r="P140" s="1"/>
      <c r="Q140" s="1"/>
      <c r="R140" s="1"/>
      <c r="S140" s="1"/>
      <c r="T140" s="1"/>
      <c r="U140" s="1"/>
      <c r="V140" s="1"/>
      <c r="W140" s="1"/>
    </row>
    <row r="141" spans="1:23" ht="23.25" customHeight="1">
      <c r="A141" s="1"/>
      <c r="B141" s="2"/>
      <c r="C141" s="39"/>
      <c r="D141" s="39"/>
      <c r="E141" s="39"/>
      <c r="F141" s="39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1"/>
      <c r="R141" s="1"/>
      <c r="S141" s="1"/>
      <c r="T141" s="1"/>
      <c r="U141" s="1"/>
      <c r="V141" s="1"/>
      <c r="W141" s="1"/>
    </row>
    <row r="142" spans="1:23" ht="23.25" customHeight="1">
      <c r="A142" s="1"/>
      <c r="B142" s="2"/>
      <c r="C142" s="9">
        <f>C$110</f>
        <v>2013</v>
      </c>
      <c r="D142" s="9">
        <f t="shared" ref="D142:F142" si="52">D$110</f>
        <v>2014</v>
      </c>
      <c r="E142" s="9">
        <f t="shared" si="52"/>
        <v>2015</v>
      </c>
      <c r="F142" s="9">
        <f t="shared" si="52"/>
        <v>2016</v>
      </c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1"/>
      <c r="R142" s="1"/>
      <c r="S142" s="1"/>
      <c r="T142" s="1"/>
      <c r="U142" s="1"/>
      <c r="V142" s="1"/>
      <c r="W142" s="1"/>
    </row>
    <row r="143" spans="1:23" ht="23.25" customHeight="1">
      <c r="A143" s="1"/>
      <c r="B143" s="2" t="s">
        <v>120</v>
      </c>
      <c r="C143" s="90">
        <f>C29/1000</f>
        <v>13.41503800000001</v>
      </c>
      <c r="D143" s="90">
        <f t="shared" ref="D143:F143" si="53">D29/1000</f>
        <v>8.1316940000000013</v>
      </c>
      <c r="E143" s="90">
        <f t="shared" si="53"/>
        <v>7.7688339999999956</v>
      </c>
      <c r="F143" s="90">
        <f t="shared" si="53"/>
        <v>6.8892240000000022</v>
      </c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1"/>
      <c r="R143" s="1"/>
      <c r="S143" s="1"/>
      <c r="T143" s="1"/>
      <c r="U143" s="1"/>
      <c r="V143" s="1"/>
      <c r="W143" s="1"/>
    </row>
    <row r="144" spans="1:23" ht="23.25" customHeight="1">
      <c r="A144" s="1"/>
      <c r="B144" s="2" t="s">
        <v>121</v>
      </c>
      <c r="C144" s="90">
        <f>C135</f>
        <v>58.774285000000006</v>
      </c>
      <c r="D144" s="90">
        <f t="shared" ref="D144:F144" si="54">D135</f>
        <v>62.902923000000001</v>
      </c>
      <c r="E144" s="90">
        <f t="shared" si="54"/>
        <v>68.163785000000004</v>
      </c>
      <c r="F144" s="90">
        <f t="shared" si="54"/>
        <v>72.545901000000001</v>
      </c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1"/>
      <c r="R144" s="1"/>
      <c r="S144" s="1"/>
      <c r="T144" s="1"/>
      <c r="U144" s="1"/>
      <c r="V144" s="1"/>
      <c r="W144" s="1"/>
    </row>
    <row r="145" spans="1:23" ht="23.25" customHeight="1">
      <c r="A145" s="1"/>
      <c r="B145" s="2" t="s">
        <v>122</v>
      </c>
      <c r="C145" s="39"/>
      <c r="D145" s="88">
        <f>(D143-C143)/(D144-C144)</f>
        <v>-1.2796820646421445</v>
      </c>
      <c r="E145" s="88">
        <f t="shared" ref="E145:F145" si="55">(E143-D143)/(E144-D144)</f>
        <v>-6.8973487614768361E-2</v>
      </c>
      <c r="F145" s="88">
        <f t="shared" si="55"/>
        <v>-0.20072722858089426</v>
      </c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1"/>
      <c r="R145" s="1"/>
      <c r="S145" s="1"/>
      <c r="T145" s="1"/>
      <c r="U145" s="1"/>
      <c r="V145" s="1"/>
      <c r="W145" s="1"/>
    </row>
    <row r="146" spans="1:23" ht="23.25" customHeight="1">
      <c r="A146" s="1"/>
      <c r="B146" s="2"/>
      <c r="C146" s="39"/>
      <c r="D146" s="39"/>
      <c r="E146" s="39"/>
      <c r="F146" s="39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1"/>
      <c r="R146" s="1"/>
      <c r="S146" s="1"/>
      <c r="T146" s="1"/>
      <c r="U146" s="1"/>
      <c r="V146" s="1"/>
      <c r="W146" s="1"/>
    </row>
    <row r="147" spans="1:23" ht="23.25" customHeight="1">
      <c r="A147" s="1"/>
      <c r="B147" s="2"/>
      <c r="C147" s="39"/>
      <c r="D147" s="39"/>
      <c r="E147" s="39"/>
      <c r="F147" s="39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1"/>
      <c r="R147" s="1"/>
      <c r="S147" s="1"/>
      <c r="T147" s="1"/>
      <c r="U147" s="1"/>
      <c r="V147" s="1"/>
      <c r="W147" s="1"/>
    </row>
    <row r="148" spans="1:23" ht="23.25" customHeight="1">
      <c r="A148" s="1"/>
      <c r="B148" s="2"/>
      <c r="C148" s="39"/>
      <c r="D148" s="39"/>
      <c r="E148" s="39"/>
      <c r="F148" s="39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1"/>
      <c r="R148" s="1"/>
      <c r="S148" s="1"/>
      <c r="T148" s="1"/>
      <c r="U148" s="1"/>
      <c r="V148" s="1"/>
      <c r="W148" s="1"/>
    </row>
    <row r="149" spans="1:23" ht="23.25" customHeight="1">
      <c r="A149" s="1"/>
      <c r="B149" s="2" t="s">
        <v>118</v>
      </c>
      <c r="C149" s="89">
        <f>F134-C134</f>
        <v>6.515627600000002</v>
      </c>
      <c r="D149" s="39"/>
      <c r="E149" s="39"/>
      <c r="F149" s="39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1"/>
      <c r="R149" s="1"/>
      <c r="S149" s="1"/>
      <c r="T149" s="1"/>
      <c r="U149" s="1"/>
      <c r="V149" s="1"/>
      <c r="W149" s="1"/>
    </row>
    <row r="150" spans="1:23" ht="23.25" customHeight="1">
      <c r="A150" s="1"/>
      <c r="B150" s="2" t="s">
        <v>119</v>
      </c>
      <c r="C150" s="89">
        <f>F135-C135</f>
        <v>13.771615999999995</v>
      </c>
      <c r="D150" s="39"/>
      <c r="E150" s="39"/>
      <c r="F150" s="39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1"/>
      <c r="R150" s="1"/>
      <c r="S150" s="1"/>
      <c r="T150" s="1"/>
      <c r="U150" s="1"/>
      <c r="V150" s="1"/>
      <c r="W150" s="1"/>
    </row>
    <row r="151" spans="1:23" ht="23.25" customHeight="1">
      <c r="A151" s="1"/>
      <c r="B151" s="2"/>
      <c r="C151" s="39"/>
      <c r="D151" s="39"/>
      <c r="E151" s="39"/>
      <c r="F151" s="39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1"/>
      <c r="R151" s="1"/>
      <c r="S151" s="1"/>
      <c r="T151" s="1"/>
      <c r="U151" s="1"/>
      <c r="V151" s="1"/>
      <c r="W151" s="1"/>
    </row>
    <row r="152" spans="1:23" ht="23.25" customHeight="1">
      <c r="A152" s="1"/>
      <c r="B152" s="2"/>
      <c r="C152" s="39"/>
      <c r="D152" s="39"/>
      <c r="E152" s="39"/>
      <c r="F152" s="39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1"/>
      <c r="R152" s="1"/>
      <c r="S152" s="1"/>
      <c r="T152" s="1"/>
      <c r="U152" s="1"/>
      <c r="V152" s="1"/>
      <c r="W152" s="1"/>
    </row>
    <row r="153" spans="1:23" ht="23.25" customHeight="1">
      <c r="A153" s="1"/>
      <c r="B153" s="2"/>
      <c r="C153" s="39"/>
      <c r="D153" s="39"/>
      <c r="E153" s="39"/>
      <c r="F153" s="39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1"/>
      <c r="R153" s="1"/>
      <c r="S153" s="1"/>
      <c r="T153" s="1"/>
      <c r="U153" s="1"/>
      <c r="V153" s="1"/>
      <c r="W153" s="1"/>
    </row>
    <row r="154" spans="1:23" ht="23.25" customHeight="1">
      <c r="A154" s="1"/>
      <c r="B154" s="2"/>
      <c r="C154" s="39"/>
      <c r="D154" s="39"/>
      <c r="E154" s="39"/>
      <c r="F154" s="39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1"/>
      <c r="R154" s="1"/>
      <c r="S154" s="1"/>
      <c r="T154" s="1"/>
      <c r="U154" s="1"/>
      <c r="V154" s="1"/>
      <c r="W154" s="1"/>
    </row>
    <row r="155" spans="1:23" ht="23.25" customHeight="1">
      <c r="A155" s="1"/>
      <c r="B155" s="2"/>
      <c r="C155" s="39"/>
      <c r="D155" s="39"/>
      <c r="E155" s="39"/>
      <c r="F155" s="39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1"/>
      <c r="R155" s="1"/>
      <c r="S155" s="1"/>
      <c r="T155" s="1"/>
      <c r="U155" s="1"/>
      <c r="V155" s="1"/>
      <c r="W155" s="1"/>
    </row>
    <row r="156" spans="1:23" ht="23.25" customHeight="1">
      <c r="A156" s="1"/>
      <c r="B156" s="2"/>
      <c r="C156" s="39"/>
      <c r="D156" s="39"/>
      <c r="E156" s="39"/>
      <c r="F156" s="39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1"/>
      <c r="R156" s="1"/>
      <c r="S156" s="1"/>
      <c r="T156" s="1"/>
      <c r="U156" s="1"/>
      <c r="V156" s="1"/>
      <c r="W156" s="1"/>
    </row>
    <row r="157" spans="1:23" ht="23.25" customHeight="1">
      <c r="A157" s="1"/>
      <c r="B157" s="2"/>
      <c r="C157" s="39"/>
      <c r="D157" s="39"/>
      <c r="E157" s="39"/>
      <c r="F157" s="39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1"/>
      <c r="R157" s="1"/>
      <c r="S157" s="1"/>
      <c r="T157" s="1"/>
      <c r="U157" s="1"/>
      <c r="V157" s="1"/>
      <c r="W157" s="1"/>
    </row>
    <row r="158" spans="1:23" ht="23.25" customHeight="1">
      <c r="A158" s="1"/>
      <c r="B158" s="2"/>
      <c r="C158" s="39"/>
      <c r="D158" s="39"/>
      <c r="E158" s="39"/>
      <c r="F158" s="39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1"/>
      <c r="R158" s="1"/>
      <c r="S158" s="1"/>
      <c r="T158" s="1"/>
      <c r="U158" s="1"/>
      <c r="V158" s="1"/>
      <c r="W158" s="1"/>
    </row>
    <row r="159" spans="1:23" ht="23.25" customHeight="1">
      <c r="A159" s="1"/>
      <c r="B159" s="2"/>
      <c r="C159" s="39"/>
      <c r="D159" s="39"/>
      <c r="E159" s="39"/>
      <c r="F159" s="39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1"/>
      <c r="R159" s="1"/>
      <c r="S159" s="1"/>
      <c r="T159" s="1"/>
      <c r="U159" s="1"/>
      <c r="V159" s="1"/>
      <c r="W159" s="1"/>
    </row>
    <row r="160" spans="1:23" ht="23.25" customHeight="1">
      <c r="A160" s="1"/>
      <c r="B160" s="2"/>
      <c r="C160" s="39"/>
      <c r="D160" s="39"/>
      <c r="E160" s="39"/>
      <c r="F160" s="39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1"/>
      <c r="R160" s="1"/>
      <c r="S160" s="1"/>
      <c r="T160" s="1"/>
      <c r="U160" s="1"/>
      <c r="V160" s="1"/>
      <c r="W160" s="1"/>
    </row>
    <row r="161" spans="1:23" ht="23.25" customHeight="1">
      <c r="A161" s="1"/>
      <c r="B161" s="2"/>
      <c r="C161" s="39"/>
      <c r="D161" s="39"/>
      <c r="E161" s="39"/>
      <c r="F161" s="39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1"/>
      <c r="R161" s="1"/>
      <c r="S161" s="1"/>
      <c r="T161" s="1"/>
      <c r="U161" s="1"/>
      <c r="V161" s="1"/>
      <c r="W161" s="1"/>
    </row>
    <row r="162" spans="1:23" ht="23.25" customHeight="1">
      <c r="A162" s="1"/>
      <c r="B162" s="2"/>
      <c r="C162" s="39"/>
      <c r="D162" s="39"/>
      <c r="E162" s="39"/>
      <c r="F162" s="39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1"/>
      <c r="R162" s="1"/>
      <c r="S162" s="1"/>
      <c r="T162" s="1"/>
      <c r="U162" s="1"/>
      <c r="V162" s="1"/>
      <c r="W162" s="1"/>
    </row>
    <row r="163" spans="1:23" ht="23.25" customHeight="1">
      <c r="A163" s="1"/>
      <c r="B163" s="2"/>
      <c r="C163" s="39"/>
      <c r="D163" s="39"/>
      <c r="E163" s="39"/>
      <c r="F163" s="39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</row>
    <row r="164" spans="1:23" ht="23.25" customHeight="1">
      <c r="A164" s="1"/>
      <c r="B164" s="2"/>
      <c r="C164" s="39"/>
      <c r="D164" s="39"/>
      <c r="E164" s="39"/>
      <c r="F164" s="39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1"/>
      <c r="R164" s="1"/>
      <c r="S164" s="1"/>
      <c r="T164" s="1"/>
      <c r="U164" s="1"/>
      <c r="V164" s="1"/>
      <c r="W164" s="1"/>
    </row>
    <row r="165" spans="1:23" ht="23.25" customHeight="1">
      <c r="A165" s="1"/>
      <c r="B165" s="2"/>
      <c r="C165" s="39"/>
      <c r="D165" s="39"/>
      <c r="E165" s="39"/>
      <c r="F165" s="39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1"/>
      <c r="R165" s="1"/>
      <c r="S165" s="1"/>
      <c r="T165" s="1"/>
      <c r="U165" s="1"/>
      <c r="V165" s="1"/>
      <c r="W165" s="1"/>
    </row>
    <row r="166" spans="1:23" ht="23.25" customHeight="1">
      <c r="A166" s="1"/>
      <c r="B166" s="2"/>
      <c r="C166" s="39"/>
      <c r="D166" s="39"/>
      <c r="E166" s="39"/>
      <c r="F166" s="39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1"/>
      <c r="R166" s="1"/>
      <c r="S166" s="1"/>
      <c r="T166" s="1"/>
      <c r="U166" s="1"/>
      <c r="V166" s="1"/>
      <c r="W166" s="1"/>
    </row>
    <row r="167" spans="1:23" ht="23.25" customHeight="1">
      <c r="A167" s="1"/>
      <c r="B167" s="2"/>
      <c r="C167" s="39"/>
      <c r="D167" s="39"/>
      <c r="E167" s="39"/>
      <c r="F167" s="39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1"/>
      <c r="R167" s="1"/>
      <c r="S167" s="1"/>
      <c r="T167" s="1"/>
      <c r="U167" s="1"/>
      <c r="V167" s="1"/>
      <c r="W167" s="1"/>
    </row>
    <row r="168" spans="1:23" ht="23.25" customHeight="1">
      <c r="A168" s="1"/>
      <c r="B168" s="2"/>
      <c r="C168" s="39"/>
      <c r="D168" s="39"/>
      <c r="E168" s="39"/>
      <c r="F168" s="39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"/>
      <c r="R168" s="1"/>
      <c r="S168" s="1"/>
      <c r="T168" s="1"/>
      <c r="U168" s="1"/>
      <c r="V168" s="1"/>
      <c r="W168" s="1"/>
    </row>
    <row r="169" spans="1:23" ht="23.25" customHeight="1">
      <c r="A169" s="1"/>
      <c r="B169" s="2"/>
      <c r="C169" s="39"/>
      <c r="D169" s="39"/>
      <c r="E169" s="39"/>
      <c r="F169" s="39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"/>
      <c r="R169" s="1"/>
      <c r="S169" s="1"/>
      <c r="T169" s="1"/>
      <c r="U169" s="1"/>
      <c r="V169" s="1"/>
      <c r="W169" s="1"/>
    </row>
    <row r="170" spans="1:23" ht="23.25" customHeight="1">
      <c r="A170" s="1"/>
      <c r="B170" s="2"/>
      <c r="C170" s="39"/>
      <c r="D170" s="39"/>
      <c r="E170" s="39"/>
      <c r="F170" s="39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"/>
      <c r="R170" s="1"/>
      <c r="S170" s="1"/>
      <c r="T170" s="1"/>
      <c r="U170" s="1"/>
      <c r="V170" s="1"/>
      <c r="W170" s="1"/>
    </row>
    <row r="171" spans="1:23" ht="23.25" customHeight="1">
      <c r="A171" s="1"/>
      <c r="B171" s="2"/>
      <c r="C171" s="39"/>
      <c r="D171" s="39"/>
      <c r="E171" s="39"/>
      <c r="F171" s="39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</row>
    <row r="172" spans="1:23" ht="23.25" customHeight="1">
      <c r="A172" s="1"/>
      <c r="B172" s="2"/>
      <c r="C172" s="39"/>
      <c r="D172" s="39"/>
      <c r="E172" s="39"/>
      <c r="F172" s="39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"/>
      <c r="R172" s="1"/>
      <c r="S172" s="1"/>
      <c r="T172" s="1"/>
      <c r="U172" s="1"/>
      <c r="V172" s="1"/>
      <c r="W172" s="1"/>
    </row>
    <row r="173" spans="1:23" ht="23.25" customHeight="1">
      <c r="A173" s="1"/>
      <c r="B173" s="2"/>
      <c r="C173" s="39"/>
      <c r="D173" s="39"/>
      <c r="E173" s="39"/>
      <c r="F173" s="39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"/>
      <c r="R173" s="1"/>
      <c r="S173" s="1"/>
      <c r="T173" s="1"/>
      <c r="U173" s="1"/>
      <c r="V173" s="1"/>
      <c r="W173" s="1"/>
    </row>
    <row r="174" spans="1:23" ht="23.25" customHeight="1">
      <c r="A174" s="1"/>
      <c r="B174" s="2"/>
      <c r="C174" s="39"/>
      <c r="D174" s="39"/>
      <c r="E174" s="39"/>
      <c r="F174" s="39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"/>
      <c r="R174" s="1"/>
      <c r="S174" s="1"/>
      <c r="T174" s="1"/>
      <c r="U174" s="1"/>
      <c r="V174" s="1"/>
      <c r="W174" s="1"/>
    </row>
    <row r="175" spans="1:23" ht="23.25" customHeight="1">
      <c r="A175" s="1"/>
      <c r="B175" s="2"/>
      <c r="C175" s="39"/>
      <c r="D175" s="39"/>
      <c r="E175" s="39"/>
      <c r="F175" s="39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"/>
      <c r="R175" s="1"/>
      <c r="S175" s="1"/>
      <c r="T175" s="1"/>
      <c r="U175" s="1"/>
      <c r="V175" s="1"/>
      <c r="W175" s="1"/>
    </row>
    <row r="176" spans="1:23" ht="23.25" customHeight="1">
      <c r="A176" s="1"/>
      <c r="B176" s="2"/>
      <c r="C176" s="39"/>
      <c r="D176" s="39"/>
      <c r="E176" s="39"/>
      <c r="F176" s="39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"/>
      <c r="R176" s="1"/>
      <c r="S176" s="1"/>
      <c r="T176" s="1"/>
      <c r="U176" s="1"/>
      <c r="V176" s="1"/>
      <c r="W176" s="1"/>
    </row>
    <row r="177" spans="1:23" ht="23.25" customHeight="1">
      <c r="A177" s="1"/>
      <c r="B177" s="2"/>
      <c r="C177" s="39"/>
      <c r="D177" s="39"/>
      <c r="E177" s="39"/>
      <c r="F177" s="39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1"/>
      <c r="R177" s="1"/>
      <c r="S177" s="1"/>
      <c r="T177" s="1"/>
      <c r="U177" s="1"/>
      <c r="V177" s="1"/>
      <c r="W177" s="1"/>
    </row>
    <row r="178" spans="1:23" ht="23.25" customHeight="1">
      <c r="A178" s="1"/>
      <c r="B178" s="2"/>
      <c r="C178" s="39"/>
      <c r="D178" s="39"/>
      <c r="E178" s="39"/>
      <c r="F178" s="39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1"/>
      <c r="R178" s="1"/>
      <c r="S178" s="1"/>
      <c r="T178" s="1"/>
      <c r="U178" s="1"/>
      <c r="V178" s="1"/>
      <c r="W178" s="1"/>
    </row>
    <row r="179" spans="1:23" ht="23.25" customHeight="1">
      <c r="A179" s="1"/>
      <c r="B179" s="2"/>
      <c r="C179" s="39"/>
      <c r="D179" s="39"/>
      <c r="E179" s="39"/>
      <c r="F179" s="39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1"/>
      <c r="R179" s="1"/>
      <c r="S179" s="1"/>
      <c r="T179" s="1"/>
      <c r="U179" s="1"/>
      <c r="V179" s="1"/>
      <c r="W179" s="1"/>
    </row>
    <row r="180" spans="1:23" ht="23.25" customHeight="1">
      <c r="A180" s="1"/>
      <c r="B180" s="2"/>
      <c r="C180" s="39"/>
      <c r="D180" s="39"/>
      <c r="E180" s="39"/>
      <c r="F180" s="39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"/>
      <c r="R180" s="1"/>
      <c r="S180" s="1"/>
      <c r="T180" s="1"/>
      <c r="U180" s="1"/>
      <c r="V180" s="1"/>
      <c r="W180" s="1"/>
    </row>
    <row r="181" spans="1:23" ht="23.25" customHeight="1">
      <c r="A181" s="1"/>
      <c r="B181" s="2"/>
      <c r="C181" s="39"/>
      <c r="D181" s="39"/>
      <c r="E181" s="39"/>
      <c r="F181" s="39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"/>
      <c r="R181" s="1"/>
      <c r="S181" s="1"/>
      <c r="T181" s="1"/>
      <c r="U181" s="1"/>
      <c r="V181" s="1"/>
      <c r="W181" s="1"/>
    </row>
    <row r="182" spans="1:23" ht="23.25" customHeight="1">
      <c r="A182" s="1"/>
      <c r="B182" s="2"/>
      <c r="C182" s="39"/>
      <c r="D182" s="39"/>
      <c r="E182" s="39"/>
      <c r="F182" s="39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"/>
      <c r="R182" s="1"/>
      <c r="S182" s="1"/>
      <c r="T182" s="1"/>
      <c r="U182" s="1"/>
      <c r="V182" s="1"/>
      <c r="W182" s="1"/>
    </row>
    <row r="183" spans="1:23" ht="23.25" customHeight="1">
      <c r="A183" s="1"/>
      <c r="B183" s="2"/>
      <c r="C183" s="39"/>
      <c r="D183" s="39"/>
      <c r="E183" s="39"/>
      <c r="F183" s="39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"/>
      <c r="R183" s="1"/>
      <c r="S183" s="1"/>
      <c r="T183" s="1"/>
      <c r="U183" s="1"/>
      <c r="V183" s="1"/>
      <c r="W183" s="1"/>
    </row>
    <row r="184" spans="1:23" ht="23.25" customHeight="1">
      <c r="A184" s="1"/>
      <c r="B184" s="2"/>
      <c r="C184" s="39"/>
      <c r="D184" s="39"/>
      <c r="E184" s="39"/>
      <c r="F184" s="39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"/>
      <c r="R184" s="1"/>
      <c r="S184" s="1"/>
      <c r="T184" s="1"/>
      <c r="U184" s="1"/>
      <c r="V184" s="1"/>
      <c r="W184" s="1"/>
    </row>
    <row r="185" spans="1:23" ht="23.25" customHeight="1">
      <c r="A185" s="1"/>
      <c r="B185" s="2"/>
      <c r="C185" s="39"/>
      <c r="D185" s="39"/>
      <c r="E185" s="39"/>
      <c r="F185" s="39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"/>
      <c r="R185" s="1"/>
      <c r="S185" s="1"/>
      <c r="T185" s="1"/>
      <c r="U185" s="1"/>
      <c r="V185" s="1"/>
      <c r="W185" s="1"/>
    </row>
    <row r="186" spans="1:23" ht="23.25" customHeight="1">
      <c r="A186" s="1"/>
      <c r="B186" s="2"/>
      <c r="C186" s="39"/>
      <c r="D186" s="39"/>
      <c r="E186" s="39"/>
      <c r="F186" s="39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"/>
      <c r="R186" s="1"/>
      <c r="S186" s="1"/>
      <c r="T186" s="1"/>
      <c r="U186" s="1"/>
      <c r="V186" s="1"/>
      <c r="W186" s="1"/>
    </row>
    <row r="187" spans="1:23" ht="23.25" customHeight="1">
      <c r="A187" s="1"/>
      <c r="B187" s="2"/>
      <c r="C187" s="39"/>
      <c r="D187" s="39"/>
      <c r="E187" s="39"/>
      <c r="F187" s="39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"/>
      <c r="R187" s="1"/>
      <c r="S187" s="1"/>
      <c r="T187" s="1"/>
      <c r="U187" s="1"/>
      <c r="V187" s="1"/>
      <c r="W187" s="1"/>
    </row>
    <row r="188" spans="1:23" ht="23.25" customHeight="1">
      <c r="A188" s="1"/>
      <c r="B188" s="2"/>
      <c r="C188" s="39"/>
      <c r="D188" s="39"/>
      <c r="E188" s="39"/>
      <c r="F188" s="39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"/>
      <c r="R188" s="1"/>
      <c r="S188" s="1"/>
      <c r="T188" s="1"/>
      <c r="U188" s="1"/>
      <c r="V188" s="1"/>
      <c r="W188" s="1"/>
    </row>
    <row r="189" spans="1:23" ht="23.25" customHeight="1">
      <c r="A189" s="1"/>
      <c r="B189" s="2"/>
      <c r="C189" s="39"/>
      <c r="D189" s="39"/>
      <c r="E189" s="39"/>
      <c r="F189" s="39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"/>
      <c r="R189" s="1"/>
      <c r="S189" s="1"/>
      <c r="T189" s="1"/>
      <c r="U189" s="1"/>
      <c r="V189" s="1"/>
      <c r="W189" s="1"/>
    </row>
    <row r="190" spans="1:23" ht="23.25" customHeight="1">
      <c r="A190" s="1"/>
      <c r="B190" s="2"/>
      <c r="C190" s="39"/>
      <c r="D190" s="39"/>
      <c r="E190" s="39"/>
      <c r="F190" s="39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"/>
      <c r="R190" s="1"/>
      <c r="S190" s="1"/>
      <c r="T190" s="1"/>
      <c r="U190" s="1"/>
      <c r="V190" s="1"/>
      <c r="W190" s="1"/>
    </row>
    <row r="191" spans="1:23" ht="23.25" customHeight="1">
      <c r="A191" s="1"/>
      <c r="B191" s="2"/>
      <c r="C191" s="39"/>
      <c r="D191" s="39"/>
      <c r="E191" s="39"/>
      <c r="F191" s="39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"/>
      <c r="R191" s="1"/>
      <c r="S191" s="1"/>
      <c r="T191" s="1"/>
      <c r="U191" s="1"/>
      <c r="V191" s="1"/>
      <c r="W191" s="1"/>
    </row>
    <row r="192" spans="1:23" ht="23.25" customHeight="1">
      <c r="A192" s="1"/>
      <c r="B192" s="2"/>
      <c r="C192" s="39"/>
      <c r="D192" s="39"/>
      <c r="E192" s="39"/>
      <c r="F192" s="39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"/>
      <c r="R192" s="1"/>
      <c r="S192" s="1"/>
      <c r="T192" s="1"/>
      <c r="U192" s="1"/>
      <c r="V192" s="1"/>
      <c r="W192" s="1"/>
    </row>
    <row r="193" spans="1:23" ht="23.25" customHeight="1">
      <c r="A193" s="1"/>
      <c r="B193" s="2"/>
      <c r="C193" s="39"/>
      <c r="D193" s="39"/>
      <c r="E193" s="39"/>
      <c r="F193" s="39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"/>
      <c r="R193" s="1"/>
      <c r="S193" s="1"/>
      <c r="T193" s="1"/>
      <c r="U193" s="1"/>
      <c r="V193" s="1"/>
      <c r="W193" s="1"/>
    </row>
    <row r="194" spans="1:23" ht="23.25" customHeight="1">
      <c r="A194" s="1"/>
      <c r="B194" s="2"/>
      <c r="C194" s="39"/>
      <c r="D194" s="39"/>
      <c r="E194" s="39"/>
      <c r="F194" s="39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"/>
      <c r="R194" s="1"/>
      <c r="S194" s="1"/>
      <c r="T194" s="1"/>
      <c r="U194" s="1"/>
      <c r="V194" s="1"/>
      <c r="W194" s="1"/>
    </row>
    <row r="195" spans="1:23" ht="23.25" customHeight="1">
      <c r="A195" s="1"/>
      <c r="B195" s="2"/>
      <c r="C195" s="39"/>
      <c r="D195" s="39"/>
      <c r="E195" s="39"/>
      <c r="F195" s="39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1"/>
      <c r="R195" s="1"/>
      <c r="S195" s="1"/>
      <c r="T195" s="1"/>
      <c r="U195" s="1"/>
      <c r="V195" s="1"/>
      <c r="W195" s="1"/>
    </row>
    <row r="196" spans="1:23" ht="23.25" customHeight="1">
      <c r="A196" s="1"/>
      <c r="B196" s="2"/>
      <c r="C196" s="39"/>
      <c r="D196" s="39"/>
      <c r="E196" s="39"/>
      <c r="F196" s="39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1"/>
      <c r="R196" s="1"/>
      <c r="S196" s="1"/>
      <c r="T196" s="1"/>
      <c r="U196" s="1"/>
      <c r="V196" s="1"/>
      <c r="W196" s="1"/>
    </row>
    <row r="197" spans="1:23" ht="23.25" customHeight="1">
      <c r="A197" s="1"/>
      <c r="B197" s="2"/>
      <c r="C197" s="39"/>
      <c r="D197" s="39"/>
      <c r="E197" s="39"/>
      <c r="F197" s="39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1"/>
      <c r="R197" s="1"/>
      <c r="S197" s="1"/>
      <c r="T197" s="1"/>
      <c r="U197" s="1"/>
      <c r="V197" s="1"/>
      <c r="W197" s="1"/>
    </row>
    <row r="198" spans="1:23" ht="23.25" customHeight="1">
      <c r="A198" s="1"/>
      <c r="B198" s="2"/>
      <c r="C198" s="39"/>
      <c r="D198" s="39"/>
      <c r="E198" s="39"/>
      <c r="F198" s="39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"/>
      <c r="R198" s="1"/>
      <c r="S198" s="1"/>
      <c r="T198" s="1"/>
      <c r="U198" s="1"/>
      <c r="V198" s="1"/>
      <c r="W198" s="1"/>
    </row>
    <row r="199" spans="1:23" ht="23.25" customHeight="1">
      <c r="A199" s="1"/>
      <c r="B199" s="2"/>
      <c r="C199" s="39"/>
      <c r="D199" s="39"/>
      <c r="E199" s="39"/>
      <c r="F199" s="39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"/>
      <c r="R199" s="1"/>
      <c r="S199" s="1"/>
      <c r="T199" s="1"/>
      <c r="U199" s="1"/>
      <c r="V199" s="1"/>
      <c r="W199" s="1"/>
    </row>
    <row r="200" spans="1:23" ht="23.25" customHeight="1">
      <c r="A200" s="1"/>
      <c r="B200" s="2"/>
      <c r="C200" s="39"/>
      <c r="D200" s="39"/>
      <c r="E200" s="39"/>
      <c r="F200" s="39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"/>
      <c r="R200" s="1"/>
      <c r="S200" s="1"/>
      <c r="T200" s="1"/>
      <c r="U200" s="1"/>
      <c r="V200" s="1"/>
      <c r="W200" s="1"/>
    </row>
    <row r="201" spans="1:23" ht="23.25" customHeight="1">
      <c r="A201" s="1"/>
      <c r="B201" s="2"/>
      <c r="C201" s="39"/>
      <c r="D201" s="39"/>
      <c r="E201" s="39"/>
      <c r="F201" s="39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"/>
      <c r="R201" s="1"/>
      <c r="S201" s="1"/>
      <c r="T201" s="1"/>
      <c r="U201" s="1"/>
      <c r="V201" s="1"/>
      <c r="W201" s="1"/>
    </row>
    <row r="202" spans="1:23" ht="23.25" customHeight="1">
      <c r="A202" s="1"/>
      <c r="B202" s="2"/>
      <c r="C202" s="39"/>
      <c r="D202" s="39"/>
      <c r="E202" s="39"/>
      <c r="F202" s="39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"/>
      <c r="R202" s="1"/>
      <c r="S202" s="1"/>
      <c r="T202" s="1"/>
      <c r="U202" s="1"/>
      <c r="V202" s="1"/>
      <c r="W202" s="1"/>
    </row>
    <row r="203" spans="1:23" ht="23.25" customHeight="1">
      <c r="A203" s="1"/>
      <c r="B203" s="2"/>
      <c r="C203" s="39"/>
      <c r="D203" s="39"/>
      <c r="E203" s="39"/>
      <c r="F203" s="39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"/>
      <c r="R203" s="1"/>
      <c r="S203" s="1"/>
      <c r="T203" s="1"/>
      <c r="U203" s="1"/>
      <c r="V203" s="1"/>
      <c r="W203" s="1"/>
    </row>
    <row r="204" spans="1:23" ht="23.25" customHeight="1">
      <c r="A204" s="1"/>
      <c r="B204" s="2"/>
      <c r="C204" s="39"/>
      <c r="D204" s="39"/>
      <c r="E204" s="39"/>
      <c r="F204" s="39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"/>
      <c r="R204" s="1"/>
      <c r="S204" s="1"/>
      <c r="T204" s="1"/>
      <c r="U204" s="1"/>
      <c r="V204" s="1"/>
      <c r="W204" s="1"/>
    </row>
    <row r="205" spans="1:23" ht="23.25" customHeight="1">
      <c r="A205" s="1"/>
      <c r="B205" s="2"/>
      <c r="C205" s="39"/>
      <c r="D205" s="39"/>
      <c r="E205" s="39"/>
      <c r="F205" s="39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"/>
      <c r="R205" s="1"/>
      <c r="S205" s="1"/>
      <c r="T205" s="1"/>
      <c r="U205" s="1"/>
      <c r="V205" s="1"/>
      <c r="W205" s="1"/>
    </row>
    <row r="206" spans="1:23" ht="23.25" customHeight="1">
      <c r="A206" s="1"/>
      <c r="B206" s="2"/>
      <c r="C206" s="39"/>
      <c r="D206" s="39"/>
      <c r="E206" s="39"/>
      <c r="F206" s="39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"/>
      <c r="R206" s="1"/>
      <c r="S206" s="1"/>
      <c r="T206" s="1"/>
      <c r="U206" s="1"/>
      <c r="V206" s="1"/>
      <c r="W206" s="1"/>
    </row>
    <row r="207" spans="1:23" ht="23.25" customHeight="1">
      <c r="A207" s="1"/>
      <c r="B207" s="2"/>
      <c r="C207" s="39"/>
      <c r="D207" s="39"/>
      <c r="E207" s="39"/>
      <c r="F207" s="39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1"/>
      <c r="R207" s="1"/>
      <c r="S207" s="1"/>
      <c r="T207" s="1"/>
      <c r="U207" s="1"/>
      <c r="V207" s="1"/>
      <c r="W207" s="1"/>
    </row>
    <row r="208" spans="1:23" ht="23.25" customHeight="1">
      <c r="A208" s="1"/>
      <c r="B208" s="2"/>
      <c r="C208" s="39"/>
      <c r="D208" s="39"/>
      <c r="E208" s="39"/>
      <c r="F208" s="39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1"/>
      <c r="R208" s="1"/>
      <c r="S208" s="1"/>
      <c r="T208" s="1"/>
      <c r="U208" s="1"/>
      <c r="V208" s="1"/>
      <c r="W208" s="1"/>
    </row>
    <row r="209" spans="1:23" ht="23.25" customHeight="1">
      <c r="A209" s="1"/>
      <c r="B209" s="2"/>
      <c r="C209" s="39"/>
      <c r="D209" s="39"/>
      <c r="E209" s="39"/>
      <c r="F209" s="39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1"/>
      <c r="R209" s="1"/>
      <c r="S209" s="1"/>
      <c r="T209" s="1"/>
      <c r="U209" s="1"/>
      <c r="V209" s="1"/>
      <c r="W209" s="1"/>
    </row>
    <row r="210" spans="1:23" ht="23.25" customHeight="1">
      <c r="A210" s="1"/>
      <c r="B210" s="2"/>
      <c r="C210" s="39"/>
      <c r="D210" s="39"/>
      <c r="E210" s="39"/>
      <c r="F210" s="39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1"/>
      <c r="R210" s="1"/>
      <c r="S210" s="1"/>
      <c r="T210" s="1"/>
      <c r="U210" s="1"/>
      <c r="V210" s="1"/>
      <c r="W210" s="1"/>
    </row>
    <row r="211" spans="1:23" ht="23.25" customHeight="1">
      <c r="A211" s="1"/>
      <c r="B211" s="2"/>
      <c r="C211" s="39"/>
      <c r="D211" s="39"/>
      <c r="E211" s="39"/>
      <c r="F211" s="39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1"/>
      <c r="R211" s="1"/>
      <c r="S211" s="1"/>
      <c r="T211" s="1"/>
      <c r="U211" s="1"/>
      <c r="V211" s="1"/>
      <c r="W211" s="1"/>
    </row>
    <row r="212" spans="1:23" ht="23.25" customHeight="1">
      <c r="A212" s="1"/>
      <c r="B212" s="2"/>
      <c r="C212" s="39"/>
      <c r="D212" s="39"/>
      <c r="E212" s="39"/>
      <c r="F212" s="39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1"/>
      <c r="R212" s="1"/>
      <c r="S212" s="1"/>
      <c r="T212" s="1"/>
      <c r="U212" s="1"/>
      <c r="V212" s="1"/>
      <c r="W212" s="1"/>
    </row>
    <row r="213" spans="1:23" ht="23.25" customHeight="1">
      <c r="A213" s="1"/>
      <c r="B213" s="2"/>
      <c r="C213" s="39"/>
      <c r="D213" s="39"/>
      <c r="E213" s="39"/>
      <c r="F213" s="39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1"/>
      <c r="R213" s="1"/>
      <c r="S213" s="1"/>
      <c r="T213" s="1"/>
      <c r="U213" s="1"/>
      <c r="V213" s="1"/>
      <c r="W213" s="1"/>
    </row>
    <row r="214" spans="1:23" ht="23.25" customHeight="1">
      <c r="A214" s="1"/>
      <c r="B214" s="2"/>
      <c r="C214" s="39"/>
      <c r="D214" s="39"/>
      <c r="E214" s="39"/>
      <c r="F214" s="39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1"/>
      <c r="R214" s="1"/>
      <c r="S214" s="1"/>
      <c r="T214" s="1"/>
      <c r="U214" s="1"/>
      <c r="V214" s="1"/>
      <c r="W214" s="1"/>
    </row>
    <row r="215" spans="1:23" ht="23.25" customHeight="1">
      <c r="A215" s="1"/>
      <c r="B215" s="2"/>
      <c r="C215" s="39"/>
      <c r="D215" s="39"/>
      <c r="E215" s="39"/>
      <c r="F215" s="39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1"/>
      <c r="R215" s="1"/>
      <c r="S215" s="1"/>
      <c r="T215" s="1"/>
      <c r="U215" s="1"/>
      <c r="V215" s="1"/>
      <c r="W215" s="1"/>
    </row>
    <row r="216" spans="1:23" ht="23.25" customHeight="1">
      <c r="A216" s="1"/>
      <c r="B216" s="2"/>
      <c r="C216" s="39"/>
      <c r="D216" s="39"/>
      <c r="E216" s="39"/>
      <c r="F216" s="39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1"/>
      <c r="R216" s="1"/>
      <c r="S216" s="1"/>
      <c r="T216" s="1"/>
      <c r="U216" s="1"/>
      <c r="V216" s="1"/>
      <c r="W216" s="1"/>
    </row>
    <row r="217" spans="1:23" ht="23.25" customHeight="1">
      <c r="A217" s="1"/>
      <c r="B217" s="2"/>
      <c r="C217" s="39"/>
      <c r="D217" s="39"/>
      <c r="E217" s="39"/>
      <c r="F217" s="39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1"/>
      <c r="R217" s="1"/>
      <c r="S217" s="1"/>
      <c r="T217" s="1"/>
      <c r="U217" s="1"/>
      <c r="V217" s="1"/>
      <c r="W217" s="1"/>
    </row>
    <row r="218" spans="1:23" ht="23.25" customHeight="1">
      <c r="A218" s="1"/>
      <c r="B218" s="2"/>
      <c r="C218" s="39"/>
      <c r="D218" s="39"/>
      <c r="E218" s="39"/>
      <c r="F218" s="39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1"/>
      <c r="R218" s="1"/>
      <c r="S218" s="1"/>
      <c r="T218" s="1"/>
      <c r="U218" s="1"/>
      <c r="V218" s="1"/>
      <c r="W218" s="1"/>
    </row>
    <row r="219" spans="1:23" ht="23.25" customHeight="1">
      <c r="A219" s="1"/>
      <c r="B219" s="2"/>
      <c r="C219" s="39"/>
      <c r="D219" s="39"/>
      <c r="E219" s="39"/>
      <c r="F219" s="39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1"/>
      <c r="R219" s="1"/>
      <c r="S219" s="1"/>
      <c r="T219" s="1"/>
      <c r="U219" s="1"/>
      <c r="V219" s="1"/>
      <c r="W219" s="1"/>
    </row>
    <row r="220" spans="1:23" ht="23.25" customHeight="1">
      <c r="A220" s="1"/>
      <c r="B220" s="2"/>
      <c r="C220" s="39"/>
      <c r="D220" s="39"/>
      <c r="E220" s="39"/>
      <c r="F220" s="39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1"/>
      <c r="R220" s="1"/>
      <c r="S220" s="1"/>
      <c r="T220" s="1"/>
      <c r="U220" s="1"/>
      <c r="V220" s="1"/>
      <c r="W220" s="1"/>
    </row>
    <row r="221" spans="1:23" ht="23.25" customHeight="1">
      <c r="A221" s="1"/>
      <c r="B221" s="2"/>
      <c r="C221" s="39"/>
      <c r="D221" s="39"/>
      <c r="E221" s="39"/>
      <c r="F221" s="39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1"/>
      <c r="R221" s="1"/>
      <c r="S221" s="1"/>
      <c r="T221" s="1"/>
      <c r="U221" s="1"/>
      <c r="V221" s="1"/>
      <c r="W221" s="1"/>
    </row>
    <row r="222" spans="1:23" ht="23.25" customHeight="1">
      <c r="A222" s="1"/>
      <c r="B222" s="2"/>
      <c r="C222" s="39"/>
      <c r="D222" s="39"/>
      <c r="E222" s="39"/>
      <c r="F222" s="39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1"/>
      <c r="R222" s="1"/>
      <c r="S222" s="1"/>
      <c r="T222" s="1"/>
      <c r="U222" s="1"/>
      <c r="V222" s="1"/>
      <c r="W222" s="1"/>
    </row>
    <row r="223" spans="1:23" ht="23.25" customHeight="1">
      <c r="A223" s="1"/>
      <c r="B223" s="2"/>
      <c r="C223" s="39"/>
      <c r="D223" s="39"/>
      <c r="E223" s="39"/>
      <c r="F223" s="39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1"/>
      <c r="R223" s="1"/>
      <c r="S223" s="1"/>
      <c r="T223" s="1"/>
      <c r="U223" s="1"/>
      <c r="V223" s="1"/>
      <c r="W223" s="1"/>
    </row>
    <row r="224" spans="1:23" ht="23.25" customHeight="1">
      <c r="A224" s="1"/>
      <c r="B224" s="2"/>
      <c r="C224" s="39"/>
      <c r="D224" s="39"/>
      <c r="E224" s="39"/>
      <c r="F224" s="39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1"/>
      <c r="R224" s="1"/>
      <c r="S224" s="1"/>
      <c r="T224" s="1"/>
      <c r="U224" s="1"/>
      <c r="V224" s="1"/>
      <c r="W224" s="1"/>
    </row>
    <row r="225" spans="1:23" ht="23.25" customHeight="1">
      <c r="A225" s="1"/>
      <c r="B225" s="2"/>
      <c r="C225" s="39"/>
      <c r="D225" s="39"/>
      <c r="E225" s="39"/>
      <c r="F225" s="39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1"/>
      <c r="R225" s="1"/>
      <c r="S225" s="1"/>
      <c r="T225" s="1"/>
      <c r="U225" s="1"/>
      <c r="V225" s="1"/>
      <c r="W225" s="1"/>
    </row>
    <row r="226" spans="1:23" ht="23.25" customHeight="1">
      <c r="A226" s="1"/>
      <c r="B226" s="2"/>
      <c r="C226" s="39"/>
      <c r="D226" s="39"/>
      <c r="E226" s="39"/>
      <c r="F226" s="39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1"/>
      <c r="R226" s="1"/>
      <c r="S226" s="1"/>
      <c r="T226" s="1"/>
      <c r="U226" s="1"/>
      <c r="V226" s="1"/>
      <c r="W226" s="1"/>
    </row>
    <row r="227" spans="1:23" ht="23.25" customHeight="1">
      <c r="A227" s="1"/>
      <c r="B227" s="2"/>
      <c r="C227" s="39"/>
      <c r="D227" s="39"/>
      <c r="E227" s="39"/>
      <c r="F227" s="39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1"/>
      <c r="R227" s="1"/>
      <c r="S227" s="1"/>
      <c r="T227" s="1"/>
      <c r="U227" s="1"/>
      <c r="V227" s="1"/>
      <c r="W227" s="1"/>
    </row>
    <row r="228" spans="1:23" ht="23.25" customHeight="1">
      <c r="A228" s="1"/>
      <c r="B228" s="2"/>
      <c r="C228" s="39"/>
      <c r="D228" s="39"/>
      <c r="E228" s="39"/>
      <c r="F228" s="39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1"/>
      <c r="R228" s="1"/>
      <c r="S228" s="1"/>
      <c r="T228" s="1"/>
      <c r="U228" s="1"/>
      <c r="V228" s="1"/>
      <c r="W228" s="1"/>
    </row>
    <row r="229" spans="1:23" ht="23.25" customHeight="1">
      <c r="A229" s="1"/>
      <c r="B229" s="2"/>
      <c r="C229" s="39"/>
      <c r="D229" s="39"/>
      <c r="E229" s="39"/>
      <c r="F229" s="39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1"/>
      <c r="R229" s="1"/>
      <c r="S229" s="1"/>
      <c r="T229" s="1"/>
      <c r="U229" s="1"/>
      <c r="V229" s="1"/>
      <c r="W229" s="1"/>
    </row>
    <row r="230" spans="1:23" ht="23.25" customHeight="1">
      <c r="A230" s="1"/>
      <c r="B230" s="2"/>
      <c r="C230" s="39"/>
      <c r="D230" s="39"/>
      <c r="E230" s="39"/>
      <c r="F230" s="39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1"/>
      <c r="R230" s="1"/>
      <c r="S230" s="1"/>
      <c r="T230" s="1"/>
      <c r="U230" s="1"/>
      <c r="V230" s="1"/>
      <c r="W230" s="1"/>
    </row>
    <row r="231" spans="1:23" ht="23.25" customHeight="1">
      <c r="A231" s="1"/>
      <c r="B231" s="2"/>
      <c r="C231" s="39"/>
      <c r="D231" s="39"/>
      <c r="E231" s="39"/>
      <c r="F231" s="39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1"/>
      <c r="R231" s="1"/>
      <c r="S231" s="1"/>
      <c r="T231" s="1"/>
      <c r="U231" s="1"/>
      <c r="V231" s="1"/>
      <c r="W231" s="1"/>
    </row>
    <row r="232" spans="1:23" ht="23.25" customHeight="1">
      <c r="A232" s="1"/>
      <c r="B232" s="2"/>
      <c r="C232" s="39"/>
      <c r="D232" s="39"/>
      <c r="E232" s="39"/>
      <c r="F232" s="39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1"/>
      <c r="R232" s="1"/>
      <c r="S232" s="1"/>
      <c r="T232" s="1"/>
      <c r="U232" s="1"/>
      <c r="V232" s="1"/>
      <c r="W232" s="1"/>
    </row>
    <row r="233" spans="1:23" ht="23.25" customHeight="1">
      <c r="A233" s="1"/>
      <c r="B233" s="2"/>
      <c r="C233" s="39"/>
      <c r="D233" s="39"/>
      <c r="E233" s="39"/>
      <c r="F233" s="39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1"/>
      <c r="R233" s="1"/>
      <c r="S233" s="1"/>
      <c r="T233" s="1"/>
      <c r="U233" s="1"/>
      <c r="V233" s="1"/>
      <c r="W233" s="1"/>
    </row>
    <row r="234" spans="1:23" ht="23.25" customHeight="1">
      <c r="A234" s="1"/>
      <c r="B234" s="2"/>
      <c r="C234" s="39"/>
      <c r="D234" s="39"/>
      <c r="E234" s="39"/>
      <c r="F234" s="39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1"/>
      <c r="R234" s="1"/>
      <c r="S234" s="1"/>
      <c r="T234" s="1"/>
      <c r="U234" s="1"/>
      <c r="V234" s="1"/>
      <c r="W234" s="1"/>
    </row>
    <row r="235" spans="1:23" ht="23.25" customHeight="1">
      <c r="A235" s="1"/>
      <c r="B235" s="2"/>
      <c r="C235" s="39"/>
      <c r="D235" s="39"/>
      <c r="E235" s="39"/>
      <c r="F235" s="39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1"/>
      <c r="R235" s="1"/>
      <c r="S235" s="1"/>
      <c r="T235" s="1"/>
      <c r="U235" s="1"/>
      <c r="V235" s="1"/>
      <c r="W235" s="1"/>
    </row>
    <row r="236" spans="1:23" ht="23.25" customHeight="1">
      <c r="A236" s="1"/>
      <c r="B236" s="2"/>
      <c r="C236" s="39"/>
      <c r="D236" s="39"/>
      <c r="E236" s="39"/>
      <c r="F236" s="39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1"/>
      <c r="R236" s="1"/>
      <c r="S236" s="1"/>
      <c r="T236" s="1"/>
      <c r="U236" s="1"/>
      <c r="V236" s="1"/>
      <c r="W236" s="1"/>
    </row>
    <row r="237" spans="1:23" ht="23.25" customHeight="1">
      <c r="A237" s="1"/>
      <c r="B237" s="2"/>
      <c r="C237" s="39"/>
      <c r="D237" s="39"/>
      <c r="E237" s="39"/>
      <c r="F237" s="39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1"/>
      <c r="R237" s="1"/>
      <c r="S237" s="1"/>
      <c r="T237" s="1"/>
      <c r="U237" s="1"/>
      <c r="V237" s="1"/>
      <c r="W237" s="1"/>
    </row>
    <row r="238" spans="1:23" ht="23.25" customHeight="1">
      <c r="A238" s="1"/>
      <c r="B238" s="2"/>
      <c r="C238" s="39"/>
      <c r="D238" s="39"/>
      <c r="E238" s="39"/>
      <c r="F238" s="39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1"/>
      <c r="R238" s="1"/>
      <c r="S238" s="1"/>
      <c r="T238" s="1"/>
      <c r="U238" s="1"/>
      <c r="V238" s="1"/>
      <c r="W238" s="1"/>
    </row>
    <row r="239" spans="1:23" ht="23.25" customHeight="1">
      <c r="A239" s="1"/>
      <c r="B239" s="2"/>
      <c r="C239" s="39"/>
      <c r="D239" s="39"/>
      <c r="E239" s="39"/>
      <c r="F239" s="39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1"/>
      <c r="R239" s="1"/>
      <c r="S239" s="1"/>
      <c r="T239" s="1"/>
      <c r="U239" s="1"/>
      <c r="V239" s="1"/>
      <c r="W239" s="1"/>
    </row>
    <row r="240" spans="1:23" ht="23.25" customHeight="1">
      <c r="A240" s="1"/>
      <c r="B240" s="2"/>
      <c r="C240" s="39"/>
      <c r="D240" s="39"/>
      <c r="E240" s="39"/>
      <c r="F240" s="39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1"/>
      <c r="R240" s="1"/>
      <c r="S240" s="1"/>
      <c r="T240" s="1"/>
      <c r="U240" s="1"/>
      <c r="V240" s="1"/>
      <c r="W240" s="1"/>
    </row>
    <row r="241" spans="1:23" ht="23.25" customHeight="1">
      <c r="A241" s="1"/>
      <c r="B241" s="2"/>
      <c r="C241" s="39"/>
      <c r="D241" s="39"/>
      <c r="E241" s="39"/>
      <c r="F241" s="39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1"/>
      <c r="R241" s="1"/>
      <c r="S241" s="1"/>
      <c r="T241" s="1"/>
      <c r="U241" s="1"/>
      <c r="V241" s="1"/>
      <c r="W241" s="1"/>
    </row>
    <row r="242" spans="1:23" ht="23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1"/>
      <c r="R242" s="1"/>
      <c r="S242" s="1"/>
      <c r="T242" s="1"/>
      <c r="U242" s="1"/>
      <c r="V242" s="1"/>
      <c r="W242" s="1"/>
    </row>
    <row r="243" spans="1:23" ht="23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1"/>
      <c r="R243" s="1"/>
      <c r="S243" s="1"/>
      <c r="T243" s="1"/>
      <c r="U243" s="1"/>
      <c r="V243" s="1"/>
      <c r="W243" s="1"/>
    </row>
    <row r="244" spans="1:23" ht="23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1"/>
      <c r="R244" s="1"/>
      <c r="S244" s="1"/>
      <c r="T244" s="1"/>
      <c r="U244" s="1"/>
      <c r="V244" s="1"/>
      <c r="W244" s="1"/>
    </row>
    <row r="245" spans="1:23" ht="23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1"/>
      <c r="R245" s="1"/>
      <c r="S245" s="1"/>
      <c r="T245" s="1"/>
      <c r="U245" s="1"/>
      <c r="V245" s="1"/>
      <c r="W245" s="1"/>
    </row>
    <row r="246" spans="1:23" ht="23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1"/>
      <c r="R246" s="1"/>
      <c r="S246" s="1"/>
      <c r="T246" s="1"/>
      <c r="U246" s="1"/>
      <c r="V246" s="1"/>
      <c r="W246" s="1"/>
    </row>
    <row r="247" spans="1:23" ht="23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1"/>
      <c r="R247" s="1"/>
      <c r="S247" s="1"/>
      <c r="T247" s="1"/>
      <c r="U247" s="1"/>
      <c r="V247" s="1"/>
      <c r="W247" s="1"/>
    </row>
    <row r="248" spans="1:23" ht="23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1"/>
      <c r="R248" s="1"/>
      <c r="S248" s="1"/>
      <c r="T248" s="1"/>
      <c r="U248" s="1"/>
      <c r="V248" s="1"/>
      <c r="W248" s="1"/>
    </row>
    <row r="249" spans="1:23" ht="23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1"/>
      <c r="R249" s="1"/>
      <c r="S249" s="1"/>
      <c r="T249" s="1"/>
      <c r="U249" s="1"/>
      <c r="V249" s="1"/>
      <c r="W249" s="1"/>
    </row>
    <row r="250" spans="1:23" ht="23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1"/>
      <c r="R250" s="1"/>
      <c r="S250" s="1"/>
      <c r="T250" s="1"/>
      <c r="U250" s="1"/>
      <c r="V250" s="1"/>
      <c r="W250" s="1"/>
    </row>
    <row r="251" spans="1:23" ht="23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1"/>
      <c r="R251" s="1"/>
      <c r="S251" s="1"/>
      <c r="T251" s="1"/>
      <c r="U251" s="1"/>
      <c r="V251" s="1"/>
      <c r="W251" s="1"/>
    </row>
    <row r="252" spans="1:23" ht="23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1"/>
      <c r="R252" s="1"/>
      <c r="S252" s="1"/>
      <c r="T252" s="1"/>
      <c r="U252" s="1"/>
      <c r="V252" s="1"/>
      <c r="W252" s="1"/>
    </row>
    <row r="253" spans="1:23" ht="23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1"/>
      <c r="R253" s="1"/>
      <c r="S253" s="1"/>
      <c r="T253" s="1"/>
      <c r="U253" s="1"/>
      <c r="V253" s="1"/>
      <c r="W253" s="1"/>
    </row>
    <row r="254" spans="1:23" ht="23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1"/>
      <c r="R254" s="1"/>
      <c r="S254" s="1"/>
      <c r="T254" s="1"/>
      <c r="U254" s="1"/>
      <c r="V254" s="1"/>
      <c r="W254" s="1"/>
    </row>
    <row r="255" spans="1:23" ht="23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1"/>
      <c r="R255" s="1"/>
      <c r="S255" s="1"/>
      <c r="T255" s="1"/>
      <c r="U255" s="1"/>
      <c r="V255" s="1"/>
      <c r="W255" s="1"/>
    </row>
    <row r="256" spans="1:23" ht="23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1"/>
      <c r="R256" s="1"/>
      <c r="S256" s="1"/>
      <c r="T256" s="1"/>
      <c r="U256" s="1"/>
      <c r="V256" s="1"/>
      <c r="W256" s="1"/>
    </row>
    <row r="257" spans="1:23" ht="23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1"/>
      <c r="R257" s="1"/>
      <c r="S257" s="1"/>
      <c r="T257" s="1"/>
      <c r="U257" s="1"/>
      <c r="V257" s="1"/>
      <c r="W257" s="1"/>
    </row>
    <row r="258" spans="1:23" ht="23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1"/>
      <c r="R258" s="1"/>
      <c r="S258" s="1"/>
      <c r="T258" s="1"/>
      <c r="U258" s="1"/>
      <c r="V258" s="1"/>
      <c r="W258" s="1"/>
    </row>
    <row r="259" spans="1:23" ht="23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1"/>
      <c r="R259" s="1"/>
      <c r="S259" s="1"/>
      <c r="T259" s="1"/>
      <c r="U259" s="1"/>
      <c r="V259" s="1"/>
      <c r="W259" s="1"/>
    </row>
    <row r="260" spans="1:23" ht="23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1"/>
      <c r="R260" s="1"/>
      <c r="S260" s="1"/>
      <c r="T260" s="1"/>
      <c r="U260" s="1"/>
      <c r="V260" s="1"/>
      <c r="W260" s="1"/>
    </row>
    <row r="261" spans="1:23" ht="23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1"/>
      <c r="R261" s="1"/>
      <c r="S261" s="1"/>
      <c r="T261" s="1"/>
      <c r="U261" s="1"/>
      <c r="V261" s="1"/>
      <c r="W261" s="1"/>
    </row>
    <row r="262" spans="1:23" ht="23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1"/>
      <c r="R262" s="1"/>
      <c r="S262" s="1"/>
      <c r="T262" s="1"/>
      <c r="U262" s="1"/>
      <c r="V262" s="1"/>
      <c r="W262" s="1"/>
    </row>
    <row r="263" spans="1:23" ht="23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1"/>
      <c r="R263" s="1"/>
      <c r="S263" s="1"/>
      <c r="T263" s="1"/>
      <c r="U263" s="1"/>
      <c r="V263" s="1"/>
      <c r="W263" s="1"/>
    </row>
    <row r="264" spans="1:23" ht="23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1"/>
      <c r="R264" s="1"/>
      <c r="S264" s="1"/>
      <c r="T264" s="1"/>
      <c r="U264" s="1"/>
      <c r="V264" s="1"/>
      <c r="W264" s="1"/>
    </row>
    <row r="265" spans="1:23" ht="23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1"/>
      <c r="R265" s="1"/>
      <c r="S265" s="1"/>
      <c r="T265" s="1"/>
      <c r="U265" s="1"/>
      <c r="V265" s="1"/>
      <c r="W265" s="1"/>
    </row>
    <row r="266" spans="1:23" ht="23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1"/>
      <c r="R266" s="1"/>
      <c r="S266" s="1"/>
      <c r="T266" s="1"/>
      <c r="U266" s="1"/>
      <c r="V266" s="1"/>
      <c r="W266" s="1"/>
    </row>
    <row r="267" spans="1:23" ht="23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1"/>
      <c r="R267" s="1"/>
      <c r="S267" s="1"/>
      <c r="T267" s="1"/>
      <c r="U267" s="1"/>
      <c r="V267" s="1"/>
      <c r="W267" s="1"/>
    </row>
    <row r="268" spans="1:23" ht="23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1"/>
      <c r="R268" s="1"/>
      <c r="S268" s="1"/>
      <c r="T268" s="1"/>
      <c r="U268" s="1"/>
      <c r="V268" s="1"/>
      <c r="W268" s="1"/>
    </row>
    <row r="269" spans="1:23" ht="23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1"/>
      <c r="R269" s="1"/>
      <c r="S269" s="1"/>
      <c r="T269" s="1"/>
      <c r="U269" s="1"/>
      <c r="V269" s="1"/>
      <c r="W269" s="1"/>
    </row>
    <row r="270" spans="1:23" ht="23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1"/>
      <c r="R270" s="1"/>
      <c r="S270" s="1"/>
      <c r="T270" s="1"/>
      <c r="U270" s="1"/>
      <c r="V270" s="1"/>
      <c r="W270" s="1"/>
    </row>
    <row r="271" spans="1:23" ht="23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1"/>
      <c r="R271" s="1"/>
      <c r="S271" s="1"/>
      <c r="T271" s="1"/>
      <c r="U271" s="1"/>
      <c r="V271" s="1"/>
      <c r="W271" s="1"/>
    </row>
    <row r="272" spans="1:23" ht="23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1"/>
      <c r="R272" s="1"/>
      <c r="S272" s="1"/>
      <c r="T272" s="1"/>
      <c r="U272" s="1"/>
      <c r="V272" s="1"/>
      <c r="W272" s="1"/>
    </row>
    <row r="273" spans="1:23" ht="23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1"/>
      <c r="R273" s="1"/>
      <c r="S273" s="1"/>
      <c r="T273" s="1"/>
      <c r="U273" s="1"/>
      <c r="V273" s="1"/>
      <c r="W273" s="1"/>
    </row>
    <row r="274" spans="1:23" ht="23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1"/>
      <c r="R274" s="1"/>
      <c r="S274" s="1"/>
      <c r="T274" s="1"/>
      <c r="U274" s="1"/>
      <c r="V274" s="1"/>
      <c r="W274" s="1"/>
    </row>
    <row r="275" spans="1:23" ht="23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1"/>
      <c r="R275" s="1"/>
      <c r="S275" s="1"/>
      <c r="T275" s="1"/>
      <c r="U275" s="1"/>
      <c r="V275" s="1"/>
      <c r="W275" s="1"/>
    </row>
    <row r="276" spans="1:23" ht="23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1"/>
      <c r="R276" s="1"/>
      <c r="S276" s="1"/>
      <c r="T276" s="1"/>
      <c r="U276" s="1"/>
      <c r="V276" s="1"/>
      <c r="W276" s="1"/>
    </row>
    <row r="277" spans="1:23" ht="23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1"/>
      <c r="R277" s="1"/>
      <c r="S277" s="1"/>
      <c r="T277" s="1"/>
      <c r="U277" s="1"/>
      <c r="V277" s="1"/>
      <c r="W277" s="1"/>
    </row>
    <row r="278" spans="1:23" ht="23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1"/>
      <c r="R278" s="1"/>
      <c r="S278" s="1"/>
      <c r="T278" s="1"/>
      <c r="U278" s="1"/>
      <c r="V278" s="1"/>
      <c r="W278" s="1"/>
    </row>
    <row r="279" spans="1:23" ht="23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1"/>
      <c r="R279" s="1"/>
      <c r="S279" s="1"/>
      <c r="T279" s="1"/>
      <c r="U279" s="1"/>
      <c r="V279" s="1"/>
      <c r="W279" s="1"/>
    </row>
    <row r="280" spans="1:23" ht="23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1"/>
      <c r="R280" s="1"/>
      <c r="S280" s="1"/>
      <c r="T280" s="1"/>
      <c r="U280" s="1"/>
      <c r="V280" s="1"/>
      <c r="W280" s="1"/>
    </row>
    <row r="281" spans="1:23" ht="23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1"/>
      <c r="R281" s="1"/>
      <c r="S281" s="1"/>
      <c r="T281" s="1"/>
      <c r="U281" s="1"/>
      <c r="V281" s="1"/>
      <c r="W281" s="1"/>
    </row>
    <row r="282" spans="1:23" ht="23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1"/>
      <c r="R282" s="1"/>
      <c r="S282" s="1"/>
      <c r="T282" s="1"/>
      <c r="U282" s="1"/>
      <c r="V282" s="1"/>
      <c r="W282" s="1"/>
    </row>
    <row r="283" spans="1:23" ht="23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1"/>
      <c r="R283" s="1"/>
      <c r="S283" s="1"/>
      <c r="T283" s="1"/>
      <c r="U283" s="1"/>
      <c r="V283" s="1"/>
      <c r="W283" s="1"/>
    </row>
    <row r="284" spans="1:23" ht="23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1"/>
      <c r="R284" s="1"/>
      <c r="S284" s="1"/>
      <c r="T284" s="1"/>
      <c r="U284" s="1"/>
      <c r="V284" s="1"/>
      <c r="W284" s="1"/>
    </row>
    <row r="285" spans="1:23" ht="23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1"/>
      <c r="R285" s="1"/>
      <c r="S285" s="1"/>
      <c r="T285" s="1"/>
      <c r="U285" s="1"/>
      <c r="V285" s="1"/>
      <c r="W285" s="1"/>
    </row>
    <row r="286" spans="1:23" ht="23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1"/>
      <c r="R286" s="1"/>
      <c r="S286" s="1"/>
      <c r="T286" s="1"/>
      <c r="U286" s="1"/>
      <c r="V286" s="1"/>
      <c r="W286" s="1"/>
    </row>
    <row r="287" spans="1:23" ht="23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1"/>
      <c r="R287" s="1"/>
      <c r="S287" s="1"/>
      <c r="T287" s="1"/>
      <c r="U287" s="1"/>
      <c r="V287" s="1"/>
      <c r="W287" s="1"/>
    </row>
    <row r="288" spans="1:23" ht="23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1"/>
      <c r="R288" s="1"/>
      <c r="S288" s="1"/>
      <c r="T288" s="1"/>
      <c r="U288" s="1"/>
      <c r="V288" s="1"/>
      <c r="W288" s="1"/>
    </row>
    <row r="289" spans="1:23" ht="23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1"/>
      <c r="R289" s="1"/>
      <c r="S289" s="1"/>
      <c r="T289" s="1"/>
      <c r="U289" s="1"/>
      <c r="V289" s="1"/>
      <c r="W289" s="1"/>
    </row>
    <row r="290" spans="1:23" ht="23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1"/>
      <c r="R290" s="1"/>
      <c r="S290" s="1"/>
      <c r="T290" s="1"/>
      <c r="U290" s="1"/>
      <c r="V290" s="1"/>
      <c r="W290" s="1"/>
    </row>
    <row r="291" spans="1:23" ht="23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1"/>
      <c r="R291" s="1"/>
      <c r="S291" s="1"/>
      <c r="T291" s="1"/>
      <c r="U291" s="1"/>
      <c r="V291" s="1"/>
      <c r="W291" s="1"/>
    </row>
    <row r="292" spans="1:23" ht="23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1"/>
      <c r="R292" s="1"/>
      <c r="S292" s="1"/>
      <c r="T292" s="1"/>
      <c r="U292" s="1"/>
      <c r="V292" s="1"/>
      <c r="W292" s="1"/>
    </row>
    <row r="293" spans="1:23" ht="23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1"/>
      <c r="R293" s="1"/>
      <c r="S293" s="1"/>
      <c r="T293" s="1"/>
      <c r="U293" s="1"/>
      <c r="V293" s="1"/>
      <c r="W293" s="1"/>
    </row>
    <row r="294" spans="1:23" ht="23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1"/>
      <c r="R294" s="1"/>
      <c r="S294" s="1"/>
      <c r="T294" s="1"/>
      <c r="U294" s="1"/>
      <c r="V294" s="1"/>
      <c r="W294" s="1"/>
    </row>
    <row r="295" spans="1:23" ht="23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1"/>
      <c r="R295" s="1"/>
      <c r="S295" s="1"/>
      <c r="T295" s="1"/>
      <c r="U295" s="1"/>
      <c r="V295" s="1"/>
      <c r="W295" s="1"/>
    </row>
    <row r="296" spans="1:23" ht="23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1"/>
      <c r="R296" s="1"/>
      <c r="S296" s="1"/>
      <c r="T296" s="1"/>
      <c r="U296" s="1"/>
      <c r="V296" s="1"/>
      <c r="W296" s="1"/>
    </row>
    <row r="297" spans="1:23" ht="23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1"/>
      <c r="R297" s="1"/>
      <c r="S297" s="1"/>
      <c r="T297" s="1"/>
      <c r="U297" s="1"/>
      <c r="V297" s="1"/>
      <c r="W297" s="1"/>
    </row>
    <row r="298" spans="1:23" ht="23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1"/>
      <c r="R298" s="1"/>
      <c r="S298" s="1"/>
      <c r="T298" s="1"/>
      <c r="U298" s="1"/>
      <c r="V298" s="1"/>
      <c r="W298" s="1"/>
    </row>
    <row r="299" spans="1:23" ht="23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1"/>
      <c r="R299" s="1"/>
      <c r="S299" s="1"/>
      <c r="T299" s="1"/>
      <c r="U299" s="1"/>
      <c r="V299" s="1"/>
      <c r="W299" s="1"/>
    </row>
    <row r="300" spans="1:23" ht="23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1"/>
      <c r="R300" s="1"/>
      <c r="S300" s="1"/>
      <c r="T300" s="1"/>
      <c r="U300" s="1"/>
      <c r="V300" s="1"/>
      <c r="W300" s="1"/>
    </row>
    <row r="301" spans="1:23" ht="23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1"/>
      <c r="R301" s="1"/>
      <c r="S301" s="1"/>
      <c r="T301" s="1"/>
      <c r="U301" s="1"/>
      <c r="V301" s="1"/>
      <c r="W301" s="1"/>
    </row>
    <row r="302" spans="1:23" ht="23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1"/>
      <c r="R302" s="1"/>
      <c r="S302" s="1"/>
      <c r="T302" s="1"/>
      <c r="U302" s="1"/>
      <c r="V302" s="1"/>
      <c r="W302" s="1"/>
    </row>
    <row r="303" spans="1:23" ht="23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1"/>
      <c r="R303" s="1"/>
      <c r="S303" s="1"/>
      <c r="T303" s="1"/>
      <c r="U303" s="1"/>
      <c r="V303" s="1"/>
      <c r="W303" s="1"/>
    </row>
    <row r="304" spans="1:23" ht="23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1"/>
      <c r="R304" s="1"/>
      <c r="S304" s="1"/>
      <c r="T304" s="1"/>
      <c r="U304" s="1"/>
      <c r="V304" s="1"/>
      <c r="W304" s="1"/>
    </row>
    <row r="305" spans="1:23" ht="23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1"/>
      <c r="R305" s="1"/>
      <c r="S305" s="1"/>
      <c r="T305" s="1"/>
      <c r="U305" s="1"/>
      <c r="V305" s="1"/>
      <c r="W305" s="1"/>
    </row>
    <row r="306" spans="1:23" ht="23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1"/>
      <c r="R306" s="1"/>
      <c r="S306" s="1"/>
      <c r="T306" s="1"/>
      <c r="U306" s="1"/>
      <c r="V306" s="1"/>
      <c r="W306" s="1"/>
    </row>
    <row r="307" spans="1:23" ht="23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1"/>
      <c r="R307" s="1"/>
      <c r="S307" s="1"/>
      <c r="T307" s="1"/>
      <c r="U307" s="1"/>
      <c r="V307" s="1"/>
      <c r="W307" s="1"/>
    </row>
    <row r="308" spans="1:23" ht="23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1"/>
      <c r="R308" s="1"/>
      <c r="S308" s="1"/>
      <c r="T308" s="1"/>
      <c r="U308" s="1"/>
      <c r="V308" s="1"/>
      <c r="W308" s="1"/>
    </row>
    <row r="309" spans="1:23" ht="23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1"/>
      <c r="R309" s="1"/>
      <c r="S309" s="1"/>
      <c r="T309" s="1"/>
      <c r="U309" s="1"/>
      <c r="V309" s="1"/>
      <c r="W309" s="1"/>
    </row>
    <row r="310" spans="1:23" ht="23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1"/>
      <c r="R310" s="1"/>
      <c r="S310" s="1"/>
      <c r="T310" s="1"/>
      <c r="U310" s="1"/>
      <c r="V310" s="1"/>
      <c r="W310" s="1"/>
    </row>
    <row r="311" spans="1:23" ht="23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1"/>
      <c r="R311" s="1"/>
      <c r="S311" s="1"/>
      <c r="T311" s="1"/>
      <c r="U311" s="1"/>
      <c r="V311" s="1"/>
      <c r="W311" s="1"/>
    </row>
    <row r="312" spans="1:23" ht="23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1"/>
      <c r="R312" s="1"/>
      <c r="S312" s="1"/>
      <c r="T312" s="1"/>
      <c r="U312" s="1"/>
      <c r="V312" s="1"/>
      <c r="W312" s="1"/>
    </row>
    <row r="313" spans="1:23" ht="23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1"/>
      <c r="R313" s="1"/>
      <c r="S313" s="1"/>
      <c r="T313" s="1"/>
      <c r="U313" s="1"/>
      <c r="V313" s="1"/>
      <c r="W313" s="1"/>
    </row>
    <row r="314" spans="1:23" ht="23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1"/>
      <c r="R314" s="1"/>
      <c r="S314" s="1"/>
      <c r="T314" s="1"/>
      <c r="U314" s="1"/>
      <c r="V314" s="1"/>
      <c r="W314" s="1"/>
    </row>
    <row r="315" spans="1:23" ht="23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1"/>
      <c r="R315" s="1"/>
      <c r="S315" s="1"/>
      <c r="T315" s="1"/>
      <c r="U315" s="1"/>
      <c r="V315" s="1"/>
      <c r="W315" s="1"/>
    </row>
    <row r="316" spans="1:23" ht="23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1"/>
      <c r="R316" s="1"/>
      <c r="S316" s="1"/>
      <c r="T316" s="1"/>
      <c r="U316" s="1"/>
      <c r="V316" s="1"/>
      <c r="W316" s="1"/>
    </row>
    <row r="317" spans="1:23" ht="23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1"/>
      <c r="R317" s="1"/>
      <c r="S317" s="1"/>
      <c r="T317" s="1"/>
      <c r="U317" s="1"/>
      <c r="V317" s="1"/>
      <c r="W317" s="1"/>
    </row>
    <row r="318" spans="1:23" ht="23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1"/>
      <c r="R318" s="1"/>
      <c r="S318" s="1"/>
      <c r="T318" s="1"/>
      <c r="U318" s="1"/>
      <c r="V318" s="1"/>
      <c r="W318" s="1"/>
    </row>
    <row r="319" spans="1:23" ht="23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1"/>
      <c r="R319" s="1"/>
      <c r="S319" s="1"/>
      <c r="T319" s="1"/>
      <c r="U319" s="1"/>
      <c r="V319" s="1"/>
      <c r="W319" s="1"/>
    </row>
    <row r="320" spans="1:23" ht="23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1"/>
      <c r="R320" s="1"/>
      <c r="S320" s="1"/>
      <c r="T320" s="1"/>
      <c r="U320" s="1"/>
      <c r="V320" s="1"/>
      <c r="W320" s="1"/>
    </row>
    <row r="321" spans="1:23" ht="23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1"/>
      <c r="R321" s="1"/>
      <c r="S321" s="1"/>
      <c r="T321" s="1"/>
      <c r="U321" s="1"/>
      <c r="V321" s="1"/>
      <c r="W321" s="1"/>
    </row>
    <row r="322" spans="1:23" ht="23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1"/>
      <c r="R322" s="1"/>
      <c r="S322" s="1"/>
      <c r="T322" s="1"/>
      <c r="U322" s="1"/>
      <c r="V322" s="1"/>
      <c r="W322" s="1"/>
    </row>
    <row r="323" spans="1:23" ht="23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1"/>
      <c r="R323" s="1"/>
      <c r="S323" s="1"/>
      <c r="T323" s="1"/>
      <c r="U323" s="1"/>
      <c r="V323" s="1"/>
      <c r="W323" s="1"/>
    </row>
    <row r="324" spans="1:23" ht="23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1"/>
      <c r="R324" s="1"/>
      <c r="S324" s="1"/>
      <c r="T324" s="1"/>
      <c r="U324" s="1"/>
      <c r="V324" s="1"/>
      <c r="W324" s="1"/>
    </row>
    <row r="325" spans="1:23" ht="23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1"/>
      <c r="R325" s="1"/>
      <c r="S325" s="1"/>
      <c r="T325" s="1"/>
      <c r="U325" s="1"/>
      <c r="V325" s="1"/>
      <c r="W325" s="1"/>
    </row>
    <row r="326" spans="1:23" ht="23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1"/>
      <c r="R326" s="1"/>
      <c r="S326" s="1"/>
      <c r="T326" s="1"/>
      <c r="U326" s="1"/>
      <c r="V326" s="1"/>
      <c r="W326" s="1"/>
    </row>
    <row r="327" spans="1:23" ht="23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1"/>
      <c r="R327" s="1"/>
      <c r="S327" s="1"/>
      <c r="T327" s="1"/>
      <c r="U327" s="1"/>
      <c r="V327" s="1"/>
      <c r="W327" s="1"/>
    </row>
    <row r="328" spans="1:23" ht="23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1"/>
      <c r="R328" s="1"/>
      <c r="S328" s="1"/>
      <c r="T328" s="1"/>
      <c r="U328" s="1"/>
      <c r="V328" s="1"/>
      <c r="W328" s="1"/>
    </row>
    <row r="329" spans="1:23" ht="23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1"/>
      <c r="R329" s="1"/>
      <c r="S329" s="1"/>
      <c r="T329" s="1"/>
      <c r="U329" s="1"/>
      <c r="V329" s="1"/>
      <c r="W329" s="1"/>
    </row>
    <row r="330" spans="1:23" ht="23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1"/>
      <c r="R330" s="1"/>
      <c r="S330" s="1"/>
      <c r="T330" s="1"/>
      <c r="U330" s="1"/>
      <c r="V330" s="1"/>
      <c r="W330" s="1"/>
    </row>
    <row r="331" spans="1:23" ht="23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1"/>
      <c r="R331" s="1"/>
      <c r="S331" s="1"/>
      <c r="T331" s="1"/>
      <c r="U331" s="1"/>
      <c r="V331" s="1"/>
      <c r="W331" s="1"/>
    </row>
    <row r="332" spans="1:23" ht="23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1"/>
      <c r="R332" s="1"/>
      <c r="S332" s="1"/>
      <c r="T332" s="1"/>
      <c r="U332" s="1"/>
      <c r="V332" s="1"/>
      <c r="W332" s="1"/>
    </row>
    <row r="333" spans="1:23" ht="23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1"/>
      <c r="R333" s="1"/>
      <c r="S333" s="1"/>
      <c r="T333" s="1"/>
      <c r="U333" s="1"/>
      <c r="V333" s="1"/>
      <c r="W333" s="1"/>
    </row>
    <row r="334" spans="1:23" ht="23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1"/>
      <c r="R334" s="1"/>
      <c r="S334" s="1"/>
      <c r="T334" s="1"/>
      <c r="U334" s="1"/>
      <c r="V334" s="1"/>
      <c r="W334" s="1"/>
    </row>
    <row r="335" spans="1:23" ht="23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1"/>
      <c r="R335" s="1"/>
      <c r="S335" s="1"/>
      <c r="T335" s="1"/>
      <c r="U335" s="1"/>
      <c r="V335" s="1"/>
      <c r="W335" s="1"/>
    </row>
    <row r="336" spans="1:23" ht="23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1"/>
      <c r="R336" s="1"/>
      <c r="S336" s="1"/>
      <c r="T336" s="1"/>
      <c r="U336" s="1"/>
      <c r="V336" s="1"/>
      <c r="W336" s="1"/>
    </row>
    <row r="337" spans="1:23" ht="23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1"/>
      <c r="R337" s="1"/>
      <c r="S337" s="1"/>
      <c r="T337" s="1"/>
      <c r="U337" s="1"/>
      <c r="V337" s="1"/>
      <c r="W337" s="1"/>
    </row>
    <row r="338" spans="1:23" ht="23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1"/>
      <c r="R338" s="1"/>
      <c r="S338" s="1"/>
      <c r="T338" s="1"/>
      <c r="U338" s="1"/>
      <c r="V338" s="1"/>
      <c r="W338" s="1"/>
    </row>
    <row r="339" spans="1:23" ht="23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1"/>
      <c r="R339" s="1"/>
      <c r="S339" s="1"/>
      <c r="T339" s="1"/>
      <c r="U339" s="1"/>
      <c r="V339" s="1"/>
      <c r="W339" s="1"/>
    </row>
    <row r="340" spans="1:23" ht="23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1"/>
      <c r="R340" s="1"/>
      <c r="S340" s="1"/>
      <c r="T340" s="1"/>
      <c r="U340" s="1"/>
      <c r="V340" s="1"/>
      <c r="W340" s="1"/>
    </row>
    <row r="341" spans="1:23" ht="23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1"/>
      <c r="R341" s="1"/>
      <c r="S341" s="1"/>
      <c r="T341" s="1"/>
      <c r="U341" s="1"/>
      <c r="V341" s="1"/>
      <c r="W341" s="1"/>
    </row>
    <row r="342" spans="1:23" ht="23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1"/>
      <c r="R342" s="1"/>
      <c r="S342" s="1"/>
      <c r="T342" s="1"/>
      <c r="U342" s="1"/>
      <c r="V342" s="1"/>
      <c r="W342" s="1"/>
    </row>
    <row r="343" spans="1:23" ht="23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  <c r="R343" s="1"/>
      <c r="S343" s="1"/>
      <c r="T343" s="1"/>
      <c r="U343" s="1"/>
      <c r="V343" s="1"/>
      <c r="W343" s="1"/>
    </row>
    <row r="344" spans="1:23" ht="23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1"/>
      <c r="R344" s="1"/>
      <c r="S344" s="1"/>
      <c r="T344" s="1"/>
      <c r="U344" s="1"/>
      <c r="V344" s="1"/>
      <c r="W344" s="1"/>
    </row>
    <row r="345" spans="1:23" ht="23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1"/>
      <c r="R345" s="1"/>
      <c r="S345" s="1"/>
      <c r="T345" s="1"/>
      <c r="U345" s="1"/>
      <c r="V345" s="1"/>
      <c r="W345" s="1"/>
    </row>
    <row r="346" spans="1:23" ht="23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1"/>
      <c r="R346" s="1"/>
      <c r="S346" s="1"/>
      <c r="T346" s="1"/>
      <c r="U346" s="1"/>
      <c r="V346" s="1"/>
      <c r="W346" s="1"/>
    </row>
    <row r="347" spans="1:23" ht="23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1"/>
      <c r="R347" s="1"/>
      <c r="S347" s="1"/>
      <c r="T347" s="1"/>
      <c r="U347" s="1"/>
      <c r="V347" s="1"/>
      <c r="W347" s="1"/>
    </row>
    <row r="348" spans="1:23" ht="23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1"/>
      <c r="R348" s="1"/>
      <c r="S348" s="1"/>
      <c r="T348" s="1"/>
      <c r="U348" s="1"/>
      <c r="V348" s="1"/>
      <c r="W348" s="1"/>
    </row>
    <row r="349" spans="1:23" ht="23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1"/>
      <c r="R349" s="1"/>
      <c r="S349" s="1"/>
      <c r="T349" s="1"/>
      <c r="U349" s="1"/>
      <c r="V349" s="1"/>
      <c r="W349" s="1"/>
    </row>
    <row r="350" spans="1:23" ht="23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1"/>
      <c r="R350" s="1"/>
      <c r="S350" s="1"/>
      <c r="T350" s="1"/>
      <c r="U350" s="1"/>
      <c r="V350" s="1"/>
      <c r="W350" s="1"/>
    </row>
    <row r="351" spans="1:23" ht="23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1"/>
      <c r="R351" s="1"/>
      <c r="S351" s="1"/>
      <c r="T351" s="1"/>
      <c r="U351" s="1"/>
      <c r="V351" s="1"/>
      <c r="W351" s="1"/>
    </row>
    <row r="352" spans="1:23" ht="23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1"/>
      <c r="R352" s="1"/>
      <c r="S352" s="1"/>
      <c r="T352" s="1"/>
      <c r="U352" s="1"/>
      <c r="V352" s="1"/>
      <c r="W352" s="1"/>
    </row>
    <row r="353" spans="1:23" ht="23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1"/>
      <c r="R353" s="1"/>
      <c r="S353" s="1"/>
      <c r="T353" s="1"/>
      <c r="U353" s="1"/>
      <c r="V353" s="1"/>
      <c r="W353" s="1"/>
    </row>
    <row r="354" spans="1:23" ht="23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1"/>
      <c r="R354" s="1"/>
      <c r="S354" s="1"/>
      <c r="T354" s="1"/>
      <c r="U354" s="1"/>
      <c r="V354" s="1"/>
      <c r="W354" s="1"/>
    </row>
    <row r="355" spans="1:23" ht="23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1"/>
      <c r="R355" s="1"/>
      <c r="S355" s="1"/>
      <c r="T355" s="1"/>
      <c r="U355" s="1"/>
      <c r="V355" s="1"/>
      <c r="W355" s="1"/>
    </row>
    <row r="356" spans="1:23" ht="23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1"/>
      <c r="R356" s="1"/>
      <c r="S356" s="1"/>
      <c r="T356" s="1"/>
      <c r="U356" s="1"/>
      <c r="V356" s="1"/>
      <c r="W356" s="1"/>
    </row>
    <row r="357" spans="1:23" ht="23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1"/>
      <c r="R357" s="1"/>
      <c r="S357" s="1"/>
      <c r="T357" s="1"/>
      <c r="U357" s="1"/>
      <c r="V357" s="1"/>
      <c r="W357" s="1"/>
    </row>
    <row r="358" spans="1:23" ht="23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1"/>
      <c r="R358" s="1"/>
      <c r="S358" s="1"/>
      <c r="T358" s="1"/>
      <c r="U358" s="1"/>
      <c r="V358" s="1"/>
      <c r="W358" s="1"/>
    </row>
    <row r="359" spans="1:23" ht="23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1"/>
      <c r="R359" s="1"/>
      <c r="S359" s="1"/>
      <c r="T359" s="1"/>
      <c r="U359" s="1"/>
      <c r="V359" s="1"/>
      <c r="W359" s="1"/>
    </row>
    <row r="360" spans="1:23" ht="23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1"/>
      <c r="R360" s="1"/>
      <c r="S360" s="1"/>
      <c r="T360" s="1"/>
      <c r="U360" s="1"/>
      <c r="V360" s="1"/>
      <c r="W360" s="1"/>
    </row>
    <row r="361" spans="1:23" ht="23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1"/>
      <c r="R361" s="1"/>
      <c r="S361" s="1"/>
      <c r="T361" s="1"/>
      <c r="U361" s="1"/>
      <c r="V361" s="1"/>
      <c r="W361" s="1"/>
    </row>
    <row r="362" spans="1:23" ht="23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1"/>
      <c r="R362" s="1"/>
      <c r="S362" s="1"/>
      <c r="T362" s="1"/>
      <c r="U362" s="1"/>
      <c r="V362" s="1"/>
      <c r="W362" s="1"/>
    </row>
    <row r="363" spans="1:23" ht="23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1"/>
      <c r="R363" s="1"/>
      <c r="S363" s="1"/>
      <c r="T363" s="1"/>
      <c r="U363" s="1"/>
      <c r="V363" s="1"/>
      <c r="W363" s="1"/>
    </row>
    <row r="364" spans="1:23" ht="23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1"/>
      <c r="R364" s="1"/>
      <c r="S364" s="1"/>
      <c r="T364" s="1"/>
      <c r="U364" s="1"/>
      <c r="V364" s="1"/>
      <c r="W364" s="1"/>
    </row>
    <row r="365" spans="1:23" ht="23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1"/>
      <c r="R365" s="1"/>
      <c r="S365" s="1"/>
      <c r="T365" s="1"/>
      <c r="U365" s="1"/>
      <c r="V365" s="1"/>
      <c r="W365" s="1"/>
    </row>
    <row r="366" spans="1:23" ht="23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1"/>
      <c r="R366" s="1"/>
      <c r="S366" s="1"/>
      <c r="T366" s="1"/>
      <c r="U366" s="1"/>
      <c r="V366" s="1"/>
      <c r="W366" s="1"/>
    </row>
    <row r="367" spans="1:23" ht="23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1"/>
      <c r="R367" s="1"/>
      <c r="S367" s="1"/>
      <c r="T367" s="1"/>
      <c r="U367" s="1"/>
      <c r="V367" s="1"/>
      <c r="W367" s="1"/>
    </row>
    <row r="368" spans="1:23" ht="23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1"/>
      <c r="R368" s="1"/>
      <c r="S368" s="1"/>
      <c r="T368" s="1"/>
      <c r="U368" s="1"/>
      <c r="V368" s="1"/>
      <c r="W368" s="1"/>
    </row>
    <row r="369" spans="1:23" ht="23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1"/>
      <c r="R369" s="1"/>
      <c r="S369" s="1"/>
      <c r="T369" s="1"/>
      <c r="U369" s="1"/>
      <c r="V369" s="1"/>
      <c r="W369" s="1"/>
    </row>
    <row r="370" spans="1:23" ht="23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1"/>
      <c r="R370" s="1"/>
      <c r="S370" s="1"/>
      <c r="T370" s="1"/>
      <c r="U370" s="1"/>
      <c r="V370" s="1"/>
      <c r="W370" s="1"/>
    </row>
    <row r="371" spans="1:23" ht="23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1"/>
      <c r="R371" s="1"/>
      <c r="S371" s="1"/>
      <c r="T371" s="1"/>
      <c r="U371" s="1"/>
      <c r="V371" s="1"/>
      <c r="W371" s="1"/>
    </row>
    <row r="372" spans="1:23" ht="23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1"/>
      <c r="R372" s="1"/>
      <c r="S372" s="1"/>
      <c r="T372" s="1"/>
      <c r="U372" s="1"/>
      <c r="V372" s="1"/>
      <c r="W372" s="1"/>
    </row>
    <row r="373" spans="1:23" ht="23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1"/>
      <c r="R373" s="1"/>
      <c r="S373" s="1"/>
      <c r="T373" s="1"/>
      <c r="U373" s="1"/>
      <c r="V373" s="1"/>
      <c r="W373" s="1"/>
    </row>
    <row r="374" spans="1:23" ht="23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1"/>
      <c r="R374" s="1"/>
      <c r="S374" s="1"/>
      <c r="T374" s="1"/>
      <c r="U374" s="1"/>
      <c r="V374" s="1"/>
      <c r="W374" s="1"/>
    </row>
    <row r="375" spans="1:23" ht="23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1"/>
      <c r="R375" s="1"/>
      <c r="S375" s="1"/>
      <c r="T375" s="1"/>
      <c r="U375" s="1"/>
      <c r="V375" s="1"/>
      <c r="W375" s="1"/>
    </row>
    <row r="376" spans="1:23" ht="23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1"/>
      <c r="R376" s="1"/>
      <c r="S376" s="1"/>
      <c r="T376" s="1"/>
      <c r="U376" s="1"/>
      <c r="V376" s="1"/>
      <c r="W376" s="1"/>
    </row>
    <row r="377" spans="1:23" ht="23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1"/>
      <c r="R377" s="1"/>
      <c r="S377" s="1"/>
      <c r="T377" s="1"/>
      <c r="U377" s="1"/>
      <c r="V377" s="1"/>
      <c r="W377" s="1"/>
    </row>
    <row r="378" spans="1:23" ht="23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1"/>
      <c r="R378" s="1"/>
      <c r="S378" s="1"/>
      <c r="T378" s="1"/>
      <c r="U378" s="1"/>
      <c r="V378" s="1"/>
      <c r="W378" s="1"/>
    </row>
    <row r="379" spans="1:23" ht="23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1"/>
      <c r="R379" s="1"/>
      <c r="S379" s="1"/>
      <c r="T379" s="1"/>
      <c r="U379" s="1"/>
      <c r="V379" s="1"/>
      <c r="W379" s="1"/>
    </row>
    <row r="380" spans="1:23" ht="23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1"/>
      <c r="R380" s="1"/>
      <c r="S380" s="1"/>
      <c r="T380" s="1"/>
      <c r="U380" s="1"/>
      <c r="V380" s="1"/>
      <c r="W380" s="1"/>
    </row>
    <row r="381" spans="1:23" ht="23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1"/>
      <c r="R381" s="1"/>
      <c r="S381" s="1"/>
      <c r="T381" s="1"/>
      <c r="U381" s="1"/>
      <c r="V381" s="1"/>
      <c r="W381" s="1"/>
    </row>
    <row r="382" spans="1:23" ht="23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1"/>
      <c r="R382" s="1"/>
      <c r="S382" s="1"/>
      <c r="T382" s="1"/>
      <c r="U382" s="1"/>
      <c r="V382" s="1"/>
      <c r="W382" s="1"/>
    </row>
    <row r="383" spans="1:23" ht="23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1"/>
      <c r="R383" s="1"/>
      <c r="S383" s="1"/>
      <c r="T383" s="1"/>
      <c r="U383" s="1"/>
      <c r="V383" s="1"/>
      <c r="W383" s="1"/>
    </row>
    <row r="384" spans="1:23" ht="23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1"/>
      <c r="R384" s="1"/>
      <c r="S384" s="1"/>
      <c r="T384" s="1"/>
      <c r="U384" s="1"/>
      <c r="V384" s="1"/>
      <c r="W384" s="1"/>
    </row>
    <row r="385" spans="1:23" ht="23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1"/>
      <c r="R385" s="1"/>
      <c r="S385" s="1"/>
      <c r="T385" s="1"/>
      <c r="U385" s="1"/>
      <c r="V385" s="1"/>
      <c r="W385" s="1"/>
    </row>
    <row r="386" spans="1:23" ht="23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1"/>
      <c r="R386" s="1"/>
      <c r="S386" s="1"/>
      <c r="T386" s="1"/>
      <c r="U386" s="1"/>
      <c r="V386" s="1"/>
      <c r="W386" s="1"/>
    </row>
    <row r="387" spans="1:23" ht="23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1"/>
      <c r="R387" s="1"/>
      <c r="S387" s="1"/>
      <c r="T387" s="1"/>
      <c r="U387" s="1"/>
      <c r="V387" s="1"/>
      <c r="W387" s="1"/>
    </row>
    <row r="388" spans="1:23" ht="23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1"/>
      <c r="R388" s="1"/>
      <c r="S388" s="1"/>
      <c r="T388" s="1"/>
      <c r="U388" s="1"/>
      <c r="V388" s="1"/>
      <c r="W388" s="1"/>
    </row>
    <row r="389" spans="1:23" ht="23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1"/>
      <c r="R389" s="1"/>
      <c r="S389" s="1"/>
      <c r="T389" s="1"/>
      <c r="U389" s="1"/>
      <c r="V389" s="1"/>
      <c r="W389" s="1"/>
    </row>
    <row r="390" spans="1:23" ht="23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1"/>
      <c r="R390" s="1"/>
      <c r="S390" s="1"/>
      <c r="T390" s="1"/>
      <c r="U390" s="1"/>
      <c r="V390" s="1"/>
      <c r="W390" s="1"/>
    </row>
    <row r="391" spans="1:23" ht="23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1"/>
      <c r="R391" s="1"/>
      <c r="S391" s="1"/>
      <c r="T391" s="1"/>
      <c r="U391" s="1"/>
      <c r="V391" s="1"/>
      <c r="W391" s="1"/>
    </row>
    <row r="392" spans="1:23" ht="23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1"/>
      <c r="R392" s="1"/>
      <c r="S392" s="1"/>
      <c r="T392" s="1"/>
      <c r="U392" s="1"/>
      <c r="V392" s="1"/>
      <c r="W392" s="1"/>
    </row>
    <row r="393" spans="1:23" ht="23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1"/>
      <c r="R393" s="1"/>
      <c r="S393" s="1"/>
      <c r="T393" s="1"/>
      <c r="U393" s="1"/>
      <c r="V393" s="1"/>
      <c r="W393" s="1"/>
    </row>
    <row r="394" spans="1:23" ht="23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1"/>
      <c r="R394" s="1"/>
      <c r="S394" s="1"/>
      <c r="T394" s="1"/>
      <c r="U394" s="1"/>
      <c r="V394" s="1"/>
      <c r="W394" s="1"/>
    </row>
    <row r="395" spans="1:23" ht="23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1"/>
      <c r="R395" s="1"/>
      <c r="S395" s="1"/>
      <c r="T395" s="1"/>
      <c r="U395" s="1"/>
      <c r="V395" s="1"/>
      <c r="W395" s="1"/>
    </row>
    <row r="396" spans="1:23" ht="23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1"/>
      <c r="R396" s="1"/>
      <c r="S396" s="1"/>
      <c r="T396" s="1"/>
      <c r="U396" s="1"/>
      <c r="V396" s="1"/>
      <c r="W396" s="1"/>
    </row>
    <row r="397" spans="1:23" ht="23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1"/>
      <c r="R397" s="1"/>
      <c r="S397" s="1"/>
      <c r="T397" s="1"/>
      <c r="U397" s="1"/>
      <c r="V397" s="1"/>
      <c r="W397" s="1"/>
    </row>
    <row r="398" spans="1:23" ht="23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1"/>
      <c r="R398" s="1"/>
      <c r="S398" s="1"/>
      <c r="T398" s="1"/>
      <c r="U398" s="1"/>
      <c r="V398" s="1"/>
      <c r="W398" s="1"/>
    </row>
    <row r="399" spans="1:23" ht="23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1"/>
      <c r="R399" s="1"/>
      <c r="S399" s="1"/>
      <c r="T399" s="1"/>
      <c r="U399" s="1"/>
      <c r="V399" s="1"/>
      <c r="W399" s="1"/>
    </row>
    <row r="400" spans="1:23" ht="23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1"/>
      <c r="R400" s="1"/>
      <c r="S400" s="1"/>
      <c r="T400" s="1"/>
      <c r="U400" s="1"/>
      <c r="V400" s="1"/>
      <c r="W400" s="1"/>
    </row>
    <row r="401" spans="1:23" ht="23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1"/>
      <c r="R401" s="1"/>
      <c r="S401" s="1"/>
      <c r="T401" s="1"/>
      <c r="U401" s="1"/>
      <c r="V401" s="1"/>
      <c r="W401" s="1"/>
    </row>
    <row r="402" spans="1:23" ht="23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1"/>
      <c r="R402" s="1"/>
      <c r="S402" s="1"/>
      <c r="T402" s="1"/>
      <c r="U402" s="1"/>
      <c r="V402" s="1"/>
      <c r="W402" s="1"/>
    </row>
    <row r="403" spans="1:23" ht="23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1"/>
      <c r="R403" s="1"/>
      <c r="S403" s="1"/>
      <c r="T403" s="1"/>
      <c r="U403" s="1"/>
      <c r="V403" s="1"/>
      <c r="W403" s="1"/>
    </row>
    <row r="404" spans="1:23" ht="23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1"/>
      <c r="R404" s="1"/>
      <c r="S404" s="1"/>
      <c r="T404" s="1"/>
      <c r="U404" s="1"/>
      <c r="V404" s="1"/>
      <c r="W404" s="1"/>
    </row>
    <row r="405" spans="1:23" ht="23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1"/>
      <c r="R405" s="1"/>
      <c r="S405" s="1"/>
      <c r="T405" s="1"/>
      <c r="U405" s="1"/>
      <c r="V405" s="1"/>
      <c r="W405" s="1"/>
    </row>
    <row r="406" spans="1:23" ht="23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1"/>
      <c r="R406" s="1"/>
      <c r="S406" s="1"/>
      <c r="T406" s="1"/>
      <c r="U406" s="1"/>
      <c r="V406" s="1"/>
      <c r="W406" s="1"/>
    </row>
    <row r="407" spans="1:23" ht="23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1"/>
      <c r="R407" s="1"/>
      <c r="S407" s="1"/>
      <c r="T407" s="1"/>
      <c r="U407" s="1"/>
      <c r="V407" s="1"/>
      <c r="W407" s="1"/>
    </row>
    <row r="408" spans="1:23" ht="23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1"/>
      <c r="R408" s="1"/>
      <c r="S408" s="1"/>
      <c r="T408" s="1"/>
      <c r="U408" s="1"/>
      <c r="V408" s="1"/>
      <c r="W408" s="1"/>
    </row>
    <row r="409" spans="1:23" ht="23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1"/>
      <c r="R409" s="1"/>
      <c r="S409" s="1"/>
      <c r="T409" s="1"/>
      <c r="U409" s="1"/>
      <c r="V409" s="1"/>
      <c r="W409" s="1"/>
    </row>
    <row r="410" spans="1:23" ht="23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1"/>
      <c r="R410" s="1"/>
      <c r="S410" s="1"/>
      <c r="T410" s="1"/>
      <c r="U410" s="1"/>
      <c r="V410" s="1"/>
      <c r="W410" s="1"/>
    </row>
    <row r="411" spans="1:23" ht="23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1"/>
      <c r="R411" s="1"/>
      <c r="S411" s="1"/>
      <c r="T411" s="1"/>
      <c r="U411" s="1"/>
      <c r="V411" s="1"/>
      <c r="W411" s="1"/>
    </row>
    <row r="412" spans="1:23" ht="23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1"/>
      <c r="R412" s="1"/>
      <c r="S412" s="1"/>
      <c r="T412" s="1"/>
      <c r="U412" s="1"/>
      <c r="V412" s="1"/>
      <c r="W412" s="1"/>
    </row>
    <row r="413" spans="1:23" ht="23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1"/>
      <c r="R413" s="1"/>
      <c r="S413" s="1"/>
      <c r="T413" s="1"/>
      <c r="U413" s="1"/>
      <c r="V413" s="1"/>
      <c r="W413" s="1"/>
    </row>
    <row r="414" spans="1:23" ht="23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1"/>
      <c r="R414" s="1"/>
      <c r="S414" s="1"/>
      <c r="T414" s="1"/>
      <c r="U414" s="1"/>
      <c r="V414" s="1"/>
      <c r="W414" s="1"/>
    </row>
    <row r="415" spans="1:23" ht="23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1"/>
      <c r="R415" s="1"/>
      <c r="S415" s="1"/>
      <c r="T415" s="1"/>
      <c r="U415" s="1"/>
      <c r="V415" s="1"/>
      <c r="W415" s="1"/>
    </row>
    <row r="416" spans="1:23" ht="23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1"/>
      <c r="R416" s="1"/>
      <c r="S416" s="1"/>
      <c r="T416" s="1"/>
      <c r="U416" s="1"/>
      <c r="V416" s="1"/>
      <c r="W416" s="1"/>
    </row>
    <row r="417" spans="1:23" ht="23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1"/>
      <c r="R417" s="1"/>
      <c r="S417" s="1"/>
      <c r="T417" s="1"/>
      <c r="U417" s="1"/>
      <c r="V417" s="1"/>
      <c r="W417" s="1"/>
    </row>
    <row r="418" spans="1:23" ht="23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1"/>
      <c r="R418" s="1"/>
      <c r="S418" s="1"/>
      <c r="T418" s="1"/>
      <c r="U418" s="1"/>
      <c r="V418" s="1"/>
      <c r="W418" s="1"/>
    </row>
    <row r="419" spans="1:23" ht="23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1"/>
      <c r="R419" s="1"/>
      <c r="S419" s="1"/>
      <c r="T419" s="1"/>
      <c r="U419" s="1"/>
      <c r="V419" s="1"/>
      <c r="W419" s="1"/>
    </row>
    <row r="420" spans="1:23" ht="23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1"/>
      <c r="R420" s="1"/>
      <c r="S420" s="1"/>
      <c r="T420" s="1"/>
      <c r="U420" s="1"/>
      <c r="V420" s="1"/>
      <c r="W420" s="1"/>
    </row>
    <row r="421" spans="1:23" ht="23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1"/>
      <c r="R421" s="1"/>
      <c r="S421" s="1"/>
      <c r="T421" s="1"/>
      <c r="U421" s="1"/>
      <c r="V421" s="1"/>
      <c r="W421" s="1"/>
    </row>
    <row r="422" spans="1:23" ht="23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1"/>
      <c r="R422" s="1"/>
      <c r="S422" s="1"/>
      <c r="T422" s="1"/>
      <c r="U422" s="1"/>
      <c r="V422" s="1"/>
      <c r="W422" s="1"/>
    </row>
    <row r="423" spans="1:23" ht="23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1"/>
      <c r="R423" s="1"/>
      <c r="S423" s="1"/>
      <c r="T423" s="1"/>
      <c r="U423" s="1"/>
      <c r="V423" s="1"/>
      <c r="W423" s="1"/>
    </row>
    <row r="424" spans="1:23" ht="23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1"/>
      <c r="R424" s="1"/>
      <c r="S424" s="1"/>
      <c r="T424" s="1"/>
      <c r="U424" s="1"/>
      <c r="V424" s="1"/>
      <c r="W424" s="1"/>
    </row>
    <row r="425" spans="1:23" ht="23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1"/>
      <c r="R425" s="1"/>
      <c r="S425" s="1"/>
      <c r="T425" s="1"/>
      <c r="U425" s="1"/>
      <c r="V425" s="1"/>
      <c r="W425" s="1"/>
    </row>
    <row r="426" spans="1:23" ht="23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1"/>
      <c r="R426" s="1"/>
      <c r="S426" s="1"/>
      <c r="T426" s="1"/>
      <c r="U426" s="1"/>
      <c r="V426" s="1"/>
      <c r="W426" s="1"/>
    </row>
    <row r="427" spans="1:23" ht="23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1"/>
      <c r="R427" s="1"/>
      <c r="S427" s="1"/>
      <c r="T427" s="1"/>
      <c r="U427" s="1"/>
      <c r="V427" s="1"/>
      <c r="W427" s="1"/>
    </row>
    <row r="428" spans="1:23" ht="23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1"/>
      <c r="R428" s="1"/>
      <c r="S428" s="1"/>
      <c r="T428" s="1"/>
      <c r="U428" s="1"/>
      <c r="V428" s="1"/>
      <c r="W428" s="1"/>
    </row>
    <row r="429" spans="1:23" ht="23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1"/>
      <c r="R429" s="1"/>
      <c r="S429" s="1"/>
      <c r="T429" s="1"/>
      <c r="U429" s="1"/>
      <c r="V429" s="1"/>
      <c r="W429" s="1"/>
    </row>
    <row r="430" spans="1:23" ht="23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1"/>
      <c r="R430" s="1"/>
      <c r="S430" s="1"/>
      <c r="T430" s="1"/>
      <c r="U430" s="1"/>
      <c r="V430" s="1"/>
      <c r="W430" s="1"/>
    </row>
    <row r="431" spans="1:23" ht="23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1"/>
      <c r="R431" s="1"/>
      <c r="S431" s="1"/>
      <c r="T431" s="1"/>
      <c r="U431" s="1"/>
      <c r="V431" s="1"/>
      <c r="W431" s="1"/>
    </row>
    <row r="432" spans="1:23" ht="23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1"/>
      <c r="R432" s="1"/>
      <c r="S432" s="1"/>
      <c r="T432" s="1"/>
      <c r="U432" s="1"/>
      <c r="V432" s="1"/>
      <c r="W432" s="1"/>
    </row>
    <row r="433" spans="1:23" ht="23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1"/>
      <c r="R433" s="1"/>
      <c r="S433" s="1"/>
      <c r="T433" s="1"/>
      <c r="U433" s="1"/>
      <c r="V433" s="1"/>
      <c r="W433" s="1"/>
    </row>
    <row r="434" spans="1:23" ht="23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1"/>
      <c r="R434" s="1"/>
      <c r="S434" s="1"/>
      <c r="T434" s="1"/>
      <c r="U434" s="1"/>
      <c r="V434" s="1"/>
      <c r="W434" s="1"/>
    </row>
    <row r="435" spans="1:23" ht="23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1"/>
      <c r="R435" s="1"/>
      <c r="S435" s="1"/>
      <c r="T435" s="1"/>
      <c r="U435" s="1"/>
      <c r="V435" s="1"/>
      <c r="W435" s="1"/>
    </row>
    <row r="436" spans="1:23" ht="23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1"/>
      <c r="R436" s="1"/>
      <c r="S436" s="1"/>
      <c r="T436" s="1"/>
      <c r="U436" s="1"/>
      <c r="V436" s="1"/>
      <c r="W436" s="1"/>
    </row>
    <row r="437" spans="1:23" ht="23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1"/>
      <c r="R437" s="1"/>
      <c r="S437" s="1"/>
      <c r="T437" s="1"/>
      <c r="U437" s="1"/>
      <c r="V437" s="1"/>
      <c r="W437" s="1"/>
    </row>
    <row r="438" spans="1:23" ht="23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1"/>
      <c r="R438" s="1"/>
      <c r="S438" s="1"/>
      <c r="T438" s="1"/>
      <c r="U438" s="1"/>
      <c r="V438" s="1"/>
      <c r="W438" s="1"/>
    </row>
    <row r="439" spans="1:23" ht="23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1"/>
      <c r="R439" s="1"/>
      <c r="S439" s="1"/>
      <c r="T439" s="1"/>
      <c r="U439" s="1"/>
      <c r="V439" s="1"/>
      <c r="W439" s="1"/>
    </row>
    <row r="440" spans="1:23" ht="23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1"/>
      <c r="R440" s="1"/>
      <c r="S440" s="1"/>
      <c r="T440" s="1"/>
      <c r="U440" s="1"/>
      <c r="V440" s="1"/>
      <c r="W440" s="1"/>
    </row>
    <row r="441" spans="1:23" ht="23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1"/>
      <c r="R441" s="1"/>
      <c r="S441" s="1"/>
      <c r="T441" s="1"/>
      <c r="U441" s="1"/>
      <c r="V441" s="1"/>
      <c r="W441" s="1"/>
    </row>
    <row r="442" spans="1:23" ht="23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1"/>
      <c r="R442" s="1"/>
      <c r="S442" s="1"/>
      <c r="T442" s="1"/>
      <c r="U442" s="1"/>
      <c r="V442" s="1"/>
      <c r="W442" s="1"/>
    </row>
    <row r="443" spans="1:23" ht="23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1"/>
      <c r="R443" s="1"/>
      <c r="S443" s="1"/>
      <c r="T443" s="1"/>
      <c r="U443" s="1"/>
      <c r="V443" s="1"/>
      <c r="W443" s="1"/>
    </row>
    <row r="444" spans="1:23" ht="23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1"/>
      <c r="R444" s="1"/>
      <c r="S444" s="1"/>
      <c r="T444" s="1"/>
      <c r="U444" s="1"/>
      <c r="V444" s="1"/>
      <c r="W444" s="1"/>
    </row>
    <row r="445" spans="1:23" ht="23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1"/>
      <c r="R445" s="1"/>
      <c r="S445" s="1"/>
      <c r="T445" s="1"/>
      <c r="U445" s="1"/>
      <c r="V445" s="1"/>
      <c r="W445" s="1"/>
    </row>
    <row r="446" spans="1:23" ht="23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1"/>
      <c r="R446" s="1"/>
      <c r="S446" s="1"/>
      <c r="T446" s="1"/>
      <c r="U446" s="1"/>
      <c r="V446" s="1"/>
      <c r="W446" s="1"/>
    </row>
    <row r="447" spans="1:23" ht="23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1"/>
      <c r="R447" s="1"/>
      <c r="S447" s="1"/>
      <c r="T447" s="1"/>
      <c r="U447" s="1"/>
      <c r="V447" s="1"/>
      <c r="W447" s="1"/>
    </row>
    <row r="448" spans="1:23" ht="23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1"/>
      <c r="R448" s="1"/>
      <c r="S448" s="1"/>
      <c r="T448" s="1"/>
      <c r="U448" s="1"/>
      <c r="V448" s="1"/>
      <c r="W448" s="1"/>
    </row>
    <row r="449" spans="1:23" ht="23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1"/>
      <c r="R449" s="1"/>
      <c r="S449" s="1"/>
      <c r="T449" s="1"/>
      <c r="U449" s="1"/>
      <c r="V449" s="1"/>
      <c r="W449" s="1"/>
    </row>
    <row r="450" spans="1:23" ht="23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1"/>
      <c r="R450" s="1"/>
      <c r="S450" s="1"/>
      <c r="T450" s="1"/>
      <c r="U450" s="1"/>
      <c r="V450" s="1"/>
      <c r="W450" s="1"/>
    </row>
    <row r="451" spans="1:23" ht="23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1"/>
      <c r="R451" s="1"/>
      <c r="S451" s="1"/>
      <c r="T451" s="1"/>
      <c r="U451" s="1"/>
      <c r="V451" s="1"/>
      <c r="W451" s="1"/>
    </row>
    <row r="452" spans="1:23" ht="23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1"/>
      <c r="R452" s="1"/>
      <c r="S452" s="1"/>
      <c r="T452" s="1"/>
      <c r="U452" s="1"/>
      <c r="V452" s="1"/>
      <c r="W452" s="1"/>
    </row>
    <row r="453" spans="1:23" ht="23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1"/>
      <c r="R453" s="1"/>
      <c r="S453" s="1"/>
      <c r="T453" s="1"/>
      <c r="U453" s="1"/>
      <c r="V453" s="1"/>
      <c r="W453" s="1"/>
    </row>
    <row r="454" spans="1:23" ht="23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1"/>
      <c r="R454" s="1"/>
      <c r="S454" s="1"/>
      <c r="T454" s="1"/>
      <c r="U454" s="1"/>
      <c r="V454" s="1"/>
      <c r="W454" s="1"/>
    </row>
    <row r="455" spans="1:23" ht="23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1"/>
      <c r="R455" s="1"/>
      <c r="S455" s="1"/>
      <c r="T455" s="1"/>
      <c r="U455" s="1"/>
      <c r="V455" s="1"/>
      <c r="W455" s="1"/>
    </row>
    <row r="456" spans="1:23" ht="23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1"/>
      <c r="R456" s="1"/>
      <c r="S456" s="1"/>
      <c r="T456" s="1"/>
      <c r="U456" s="1"/>
      <c r="V456" s="1"/>
      <c r="W456" s="1"/>
    </row>
    <row r="457" spans="1:23" ht="23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1"/>
      <c r="R457" s="1"/>
      <c r="S457" s="1"/>
      <c r="T457" s="1"/>
      <c r="U457" s="1"/>
      <c r="V457" s="1"/>
      <c r="W457" s="1"/>
    </row>
    <row r="458" spans="1:23" ht="23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1"/>
      <c r="R458" s="1"/>
      <c r="S458" s="1"/>
      <c r="T458" s="1"/>
      <c r="U458" s="1"/>
      <c r="V458" s="1"/>
      <c r="W458" s="1"/>
    </row>
    <row r="459" spans="1:23" ht="23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1"/>
      <c r="R459" s="1"/>
      <c r="S459" s="1"/>
      <c r="T459" s="1"/>
      <c r="U459" s="1"/>
      <c r="V459" s="1"/>
      <c r="W459" s="1"/>
    </row>
    <row r="460" spans="1:23" ht="23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1"/>
      <c r="R460" s="1"/>
      <c r="S460" s="1"/>
      <c r="T460" s="1"/>
      <c r="U460" s="1"/>
      <c r="V460" s="1"/>
      <c r="W460" s="1"/>
    </row>
    <row r="461" spans="1:23" ht="23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1"/>
      <c r="R461" s="1"/>
      <c r="S461" s="1"/>
      <c r="T461" s="1"/>
      <c r="U461" s="1"/>
      <c r="V461" s="1"/>
      <c r="W461" s="1"/>
    </row>
    <row r="462" spans="1:23" ht="23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1"/>
      <c r="R462" s="1"/>
      <c r="S462" s="1"/>
      <c r="T462" s="1"/>
      <c r="U462" s="1"/>
      <c r="V462" s="1"/>
      <c r="W462" s="1"/>
    </row>
    <row r="463" spans="1:23" ht="23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1"/>
      <c r="R463" s="1"/>
      <c r="S463" s="1"/>
      <c r="T463" s="1"/>
      <c r="U463" s="1"/>
      <c r="V463" s="1"/>
      <c r="W463" s="1"/>
    </row>
    <row r="464" spans="1:23" ht="23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1"/>
      <c r="R464" s="1"/>
      <c r="S464" s="1"/>
      <c r="T464" s="1"/>
      <c r="U464" s="1"/>
      <c r="V464" s="1"/>
      <c r="W464" s="1"/>
    </row>
    <row r="465" spans="1:23" ht="23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1"/>
      <c r="R465" s="1"/>
      <c r="S465" s="1"/>
      <c r="T465" s="1"/>
      <c r="U465" s="1"/>
      <c r="V465" s="1"/>
      <c r="W465" s="1"/>
    </row>
    <row r="466" spans="1:23" ht="23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1"/>
      <c r="R466" s="1"/>
      <c r="S466" s="1"/>
      <c r="T466" s="1"/>
      <c r="U466" s="1"/>
      <c r="V466" s="1"/>
      <c r="W466" s="1"/>
    </row>
    <row r="467" spans="1:23" ht="23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1"/>
      <c r="R467" s="1"/>
      <c r="S467" s="1"/>
      <c r="T467" s="1"/>
      <c r="U467" s="1"/>
      <c r="V467" s="1"/>
      <c r="W467" s="1"/>
    </row>
    <row r="468" spans="1:23" ht="23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1"/>
      <c r="R468" s="1"/>
      <c r="S468" s="1"/>
      <c r="T468" s="1"/>
      <c r="U468" s="1"/>
      <c r="V468" s="1"/>
      <c r="W468" s="1"/>
    </row>
    <row r="469" spans="1:23" ht="23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1"/>
      <c r="R469" s="1"/>
      <c r="S469" s="1"/>
      <c r="T469" s="1"/>
      <c r="U469" s="1"/>
      <c r="V469" s="1"/>
      <c r="W469" s="1"/>
    </row>
    <row r="470" spans="1:23" ht="23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1"/>
      <c r="R470" s="1"/>
      <c r="S470" s="1"/>
      <c r="T470" s="1"/>
      <c r="U470" s="1"/>
      <c r="V470" s="1"/>
      <c r="W470" s="1"/>
    </row>
    <row r="471" spans="1:23" ht="23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1"/>
      <c r="R471" s="1"/>
      <c r="S471" s="1"/>
      <c r="T471" s="1"/>
      <c r="U471" s="1"/>
      <c r="V471" s="1"/>
      <c r="W471" s="1"/>
    </row>
    <row r="472" spans="1:23" ht="23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1"/>
      <c r="R472" s="1"/>
      <c r="S472" s="1"/>
      <c r="T472" s="1"/>
      <c r="U472" s="1"/>
      <c r="V472" s="1"/>
      <c r="W472" s="1"/>
    </row>
    <row r="473" spans="1:23" ht="23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1"/>
      <c r="R473" s="1"/>
      <c r="S473" s="1"/>
      <c r="T473" s="1"/>
      <c r="U473" s="1"/>
      <c r="V473" s="1"/>
      <c r="W473" s="1"/>
    </row>
    <row r="474" spans="1:23" ht="23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1"/>
      <c r="R474" s="1"/>
      <c r="S474" s="1"/>
      <c r="T474" s="1"/>
      <c r="U474" s="1"/>
      <c r="V474" s="1"/>
      <c r="W474" s="1"/>
    </row>
    <row r="475" spans="1:23" ht="23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1"/>
      <c r="R475" s="1"/>
      <c r="S475" s="1"/>
      <c r="T475" s="1"/>
      <c r="U475" s="1"/>
      <c r="V475" s="1"/>
      <c r="W475" s="1"/>
    </row>
    <row r="476" spans="1:23" ht="23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1"/>
      <c r="R476" s="1"/>
      <c r="S476" s="1"/>
      <c r="T476" s="1"/>
      <c r="U476" s="1"/>
      <c r="V476" s="1"/>
      <c r="W476" s="1"/>
    </row>
    <row r="477" spans="1:23" ht="23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1"/>
      <c r="R477" s="1"/>
      <c r="S477" s="1"/>
      <c r="T477" s="1"/>
      <c r="U477" s="1"/>
      <c r="V477" s="1"/>
      <c r="W477" s="1"/>
    </row>
    <row r="478" spans="1:23" ht="23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1"/>
      <c r="R478" s="1"/>
      <c r="S478" s="1"/>
      <c r="T478" s="1"/>
      <c r="U478" s="1"/>
      <c r="V478" s="1"/>
      <c r="W478" s="1"/>
    </row>
    <row r="479" spans="1:23" ht="23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1"/>
      <c r="R479" s="1"/>
      <c r="S479" s="1"/>
      <c r="T479" s="1"/>
      <c r="U479" s="1"/>
      <c r="V479" s="1"/>
      <c r="W479" s="1"/>
    </row>
    <row r="480" spans="1:23" ht="23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1"/>
      <c r="R480" s="1"/>
      <c r="S480" s="1"/>
      <c r="T480" s="1"/>
      <c r="U480" s="1"/>
      <c r="V480" s="1"/>
      <c r="W480" s="1"/>
    </row>
    <row r="481" spans="1:23" ht="23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1"/>
      <c r="R481" s="1"/>
      <c r="S481" s="1"/>
      <c r="T481" s="1"/>
      <c r="U481" s="1"/>
      <c r="V481" s="1"/>
      <c r="W481" s="1"/>
    </row>
    <row r="482" spans="1:23" ht="23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1"/>
      <c r="R482" s="1"/>
      <c r="S482" s="1"/>
      <c r="T482" s="1"/>
      <c r="U482" s="1"/>
      <c r="V482" s="1"/>
      <c r="W482" s="1"/>
    </row>
    <row r="483" spans="1:23" ht="23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1"/>
      <c r="R483" s="1"/>
      <c r="S483" s="1"/>
      <c r="T483" s="1"/>
      <c r="U483" s="1"/>
      <c r="V483" s="1"/>
      <c r="W483" s="1"/>
    </row>
    <row r="484" spans="1:23" ht="23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1"/>
      <c r="R484" s="1"/>
      <c r="S484" s="1"/>
      <c r="T484" s="1"/>
      <c r="U484" s="1"/>
      <c r="V484" s="1"/>
      <c r="W484" s="1"/>
    </row>
    <row r="485" spans="1:23" ht="23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1"/>
      <c r="R485" s="1"/>
      <c r="S485" s="1"/>
      <c r="T485" s="1"/>
      <c r="U485" s="1"/>
      <c r="V485" s="1"/>
      <c r="W485" s="1"/>
    </row>
    <row r="486" spans="1:23" ht="23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1"/>
      <c r="R486" s="1"/>
      <c r="S486" s="1"/>
      <c r="T486" s="1"/>
      <c r="U486" s="1"/>
      <c r="V486" s="1"/>
      <c r="W486" s="1"/>
    </row>
    <row r="487" spans="1:23" ht="23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1"/>
      <c r="R487" s="1"/>
      <c r="S487" s="1"/>
      <c r="T487" s="1"/>
      <c r="U487" s="1"/>
      <c r="V487" s="1"/>
      <c r="W487" s="1"/>
    </row>
    <row r="488" spans="1:23" ht="23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1"/>
      <c r="R488" s="1"/>
      <c r="S488" s="1"/>
      <c r="T488" s="1"/>
      <c r="U488" s="1"/>
      <c r="V488" s="1"/>
      <c r="W488" s="1"/>
    </row>
    <row r="489" spans="1:23" ht="23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1"/>
      <c r="R489" s="1"/>
      <c r="S489" s="1"/>
      <c r="T489" s="1"/>
      <c r="U489" s="1"/>
      <c r="V489" s="1"/>
      <c r="W489" s="1"/>
    </row>
    <row r="490" spans="1:23" ht="23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1"/>
      <c r="R490" s="1"/>
      <c r="S490" s="1"/>
      <c r="T490" s="1"/>
      <c r="U490" s="1"/>
      <c r="V490" s="1"/>
      <c r="W490" s="1"/>
    </row>
    <row r="491" spans="1:23" ht="23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1"/>
      <c r="R491" s="1"/>
      <c r="S491" s="1"/>
      <c r="T491" s="1"/>
      <c r="U491" s="1"/>
      <c r="V491" s="1"/>
      <c r="W491" s="1"/>
    </row>
    <row r="492" spans="1:23" ht="23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1"/>
      <c r="R492" s="1"/>
      <c r="S492" s="1"/>
      <c r="T492" s="1"/>
      <c r="U492" s="1"/>
      <c r="V492" s="1"/>
      <c r="W492" s="1"/>
    </row>
    <row r="493" spans="1:23" ht="23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1"/>
      <c r="R493" s="1"/>
      <c r="S493" s="1"/>
      <c r="T493" s="1"/>
      <c r="U493" s="1"/>
      <c r="V493" s="1"/>
      <c r="W493" s="1"/>
    </row>
    <row r="494" spans="1:23" ht="23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1"/>
      <c r="R494" s="1"/>
      <c r="S494" s="1"/>
      <c r="T494" s="1"/>
      <c r="U494" s="1"/>
      <c r="V494" s="1"/>
      <c r="W494" s="1"/>
    </row>
    <row r="495" spans="1:23" ht="23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1"/>
      <c r="R495" s="1"/>
      <c r="S495" s="1"/>
      <c r="T495" s="1"/>
      <c r="U495" s="1"/>
      <c r="V495" s="1"/>
      <c r="W495" s="1"/>
    </row>
    <row r="496" spans="1:23" ht="23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1"/>
      <c r="R496" s="1"/>
      <c r="S496" s="1"/>
      <c r="T496" s="1"/>
      <c r="U496" s="1"/>
      <c r="V496" s="1"/>
      <c r="W496" s="1"/>
    </row>
    <row r="497" spans="1:23" ht="23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1"/>
      <c r="R497" s="1"/>
      <c r="S497" s="1"/>
      <c r="T497" s="1"/>
      <c r="U497" s="1"/>
      <c r="V497" s="1"/>
      <c r="W497" s="1"/>
    </row>
    <row r="498" spans="1:23" ht="23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1"/>
      <c r="R498" s="1"/>
      <c r="S498" s="1"/>
      <c r="T498" s="1"/>
      <c r="U498" s="1"/>
      <c r="V498" s="1"/>
      <c r="W498" s="1"/>
    </row>
    <row r="499" spans="1:23" ht="23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1"/>
      <c r="R499" s="1"/>
      <c r="S499" s="1"/>
      <c r="T499" s="1"/>
      <c r="U499" s="1"/>
      <c r="V499" s="1"/>
      <c r="W499" s="1"/>
    </row>
    <row r="500" spans="1:23" ht="23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1"/>
      <c r="R500" s="1"/>
      <c r="S500" s="1"/>
      <c r="T500" s="1"/>
      <c r="U500" s="1"/>
      <c r="V500" s="1"/>
      <c r="W500" s="1"/>
    </row>
    <row r="501" spans="1:23" ht="23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1"/>
      <c r="R501" s="1"/>
      <c r="S501" s="1"/>
      <c r="T501" s="1"/>
      <c r="U501" s="1"/>
      <c r="V501" s="1"/>
      <c r="W501" s="1"/>
    </row>
    <row r="502" spans="1:23" ht="23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1"/>
      <c r="R502" s="1"/>
      <c r="S502" s="1"/>
      <c r="T502" s="1"/>
      <c r="U502" s="1"/>
      <c r="V502" s="1"/>
      <c r="W502" s="1"/>
    </row>
    <row r="503" spans="1:23" ht="23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1"/>
      <c r="R503" s="1"/>
      <c r="S503" s="1"/>
      <c r="T503" s="1"/>
      <c r="U503" s="1"/>
      <c r="V503" s="1"/>
      <c r="W503" s="1"/>
    </row>
    <row r="504" spans="1:23" ht="23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1"/>
      <c r="R504" s="1"/>
      <c r="S504" s="1"/>
      <c r="T504" s="1"/>
      <c r="U504" s="1"/>
      <c r="V504" s="1"/>
      <c r="W504" s="1"/>
    </row>
    <row r="505" spans="1:23" ht="23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1"/>
      <c r="R505" s="1"/>
      <c r="S505" s="1"/>
      <c r="T505" s="1"/>
      <c r="U505" s="1"/>
      <c r="V505" s="1"/>
      <c r="W505" s="1"/>
    </row>
    <row r="506" spans="1:23" ht="23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1"/>
      <c r="R506" s="1"/>
      <c r="S506" s="1"/>
      <c r="T506" s="1"/>
      <c r="U506" s="1"/>
      <c r="V506" s="1"/>
      <c r="W506" s="1"/>
    </row>
    <row r="507" spans="1:23" ht="23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1"/>
      <c r="R507" s="1"/>
      <c r="S507" s="1"/>
      <c r="T507" s="1"/>
      <c r="U507" s="1"/>
      <c r="V507" s="1"/>
      <c r="W507" s="1"/>
    </row>
    <row r="508" spans="1:23" ht="23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1"/>
      <c r="R508" s="1"/>
      <c r="S508" s="1"/>
      <c r="T508" s="1"/>
      <c r="U508" s="1"/>
      <c r="V508" s="1"/>
      <c r="W508" s="1"/>
    </row>
    <row r="509" spans="1:23" ht="23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1"/>
      <c r="R509" s="1"/>
      <c r="S509" s="1"/>
      <c r="T509" s="1"/>
      <c r="U509" s="1"/>
      <c r="V509" s="1"/>
      <c r="W509" s="1"/>
    </row>
    <row r="510" spans="1:23" ht="23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1"/>
      <c r="R510" s="1"/>
      <c r="S510" s="1"/>
      <c r="T510" s="1"/>
      <c r="U510" s="1"/>
      <c r="V510" s="1"/>
      <c r="W510" s="1"/>
    </row>
    <row r="511" spans="1:23" ht="23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1"/>
      <c r="R511" s="1"/>
      <c r="S511" s="1"/>
      <c r="T511" s="1"/>
      <c r="U511" s="1"/>
      <c r="V511" s="1"/>
      <c r="W511" s="1"/>
    </row>
    <row r="512" spans="1:23" ht="23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1"/>
      <c r="R512" s="1"/>
      <c r="S512" s="1"/>
      <c r="T512" s="1"/>
      <c r="U512" s="1"/>
      <c r="V512" s="1"/>
      <c r="W512" s="1"/>
    </row>
    <row r="513" spans="1:23" ht="23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1"/>
      <c r="R513" s="1"/>
      <c r="S513" s="1"/>
      <c r="T513" s="1"/>
      <c r="U513" s="1"/>
      <c r="V513" s="1"/>
      <c r="W513" s="1"/>
    </row>
    <row r="514" spans="1:23" ht="23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1"/>
      <c r="R514" s="1"/>
      <c r="S514" s="1"/>
      <c r="T514" s="1"/>
      <c r="U514" s="1"/>
      <c r="V514" s="1"/>
      <c r="W514" s="1"/>
    </row>
    <row r="515" spans="1:23" ht="23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1"/>
      <c r="R515" s="1"/>
      <c r="S515" s="1"/>
      <c r="T515" s="1"/>
      <c r="U515" s="1"/>
      <c r="V515" s="1"/>
      <c r="W515" s="1"/>
    </row>
    <row r="516" spans="1:23" ht="23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1"/>
      <c r="R516" s="1"/>
      <c r="S516" s="1"/>
      <c r="T516" s="1"/>
      <c r="U516" s="1"/>
      <c r="V516" s="1"/>
      <c r="W516" s="1"/>
    </row>
    <row r="517" spans="1:23" ht="23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1"/>
      <c r="R517" s="1"/>
      <c r="S517" s="1"/>
      <c r="T517" s="1"/>
      <c r="U517" s="1"/>
      <c r="V517" s="1"/>
      <c r="W517" s="1"/>
    </row>
    <row r="518" spans="1:23" ht="23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1"/>
      <c r="R518" s="1"/>
      <c r="S518" s="1"/>
      <c r="T518" s="1"/>
      <c r="U518" s="1"/>
      <c r="V518" s="1"/>
      <c r="W518" s="1"/>
    </row>
    <row r="519" spans="1:23" ht="23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1"/>
      <c r="R519" s="1"/>
      <c r="S519" s="1"/>
      <c r="T519" s="1"/>
      <c r="U519" s="1"/>
      <c r="V519" s="1"/>
      <c r="W519" s="1"/>
    </row>
    <row r="520" spans="1:23" ht="23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1"/>
      <c r="R520" s="1"/>
      <c r="S520" s="1"/>
      <c r="T520" s="1"/>
      <c r="U520" s="1"/>
      <c r="V520" s="1"/>
      <c r="W520" s="1"/>
    </row>
    <row r="521" spans="1:23" ht="23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1"/>
      <c r="R521" s="1"/>
      <c r="S521" s="1"/>
      <c r="T521" s="1"/>
      <c r="U521" s="1"/>
      <c r="V521" s="1"/>
      <c r="W521" s="1"/>
    </row>
    <row r="522" spans="1:23" ht="23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1"/>
      <c r="R522" s="1"/>
      <c r="S522" s="1"/>
      <c r="T522" s="1"/>
      <c r="U522" s="1"/>
      <c r="V522" s="1"/>
      <c r="W522" s="1"/>
    </row>
    <row r="523" spans="1:23" ht="23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1"/>
      <c r="R523" s="1"/>
      <c r="S523" s="1"/>
      <c r="T523" s="1"/>
      <c r="U523" s="1"/>
      <c r="V523" s="1"/>
      <c r="W523" s="1"/>
    </row>
    <row r="524" spans="1:23" ht="23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1"/>
      <c r="R524" s="1"/>
      <c r="S524" s="1"/>
      <c r="T524" s="1"/>
      <c r="U524" s="1"/>
      <c r="V524" s="1"/>
      <c r="W524" s="1"/>
    </row>
    <row r="525" spans="1:23" ht="23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1"/>
      <c r="R525" s="1"/>
      <c r="S525" s="1"/>
      <c r="T525" s="1"/>
      <c r="U525" s="1"/>
      <c r="V525" s="1"/>
      <c r="W525" s="1"/>
    </row>
    <row r="526" spans="1:23" ht="23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1"/>
      <c r="R526" s="1"/>
      <c r="S526" s="1"/>
      <c r="T526" s="1"/>
      <c r="U526" s="1"/>
      <c r="V526" s="1"/>
      <c r="W526" s="1"/>
    </row>
    <row r="527" spans="1:23" ht="23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1"/>
      <c r="R527" s="1"/>
      <c r="S527" s="1"/>
      <c r="T527" s="1"/>
      <c r="U527" s="1"/>
      <c r="V527" s="1"/>
      <c r="W527" s="1"/>
    </row>
    <row r="528" spans="1:23" ht="23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1"/>
      <c r="R528" s="1"/>
      <c r="S528" s="1"/>
      <c r="T528" s="1"/>
      <c r="U528" s="1"/>
      <c r="V528" s="1"/>
      <c r="W528" s="1"/>
    </row>
    <row r="529" spans="1:23" ht="23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1"/>
      <c r="R529" s="1"/>
      <c r="S529" s="1"/>
      <c r="T529" s="1"/>
      <c r="U529" s="1"/>
      <c r="V529" s="1"/>
      <c r="W529" s="1"/>
    </row>
    <row r="530" spans="1:23" ht="23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1"/>
      <c r="R530" s="1"/>
      <c r="S530" s="1"/>
      <c r="T530" s="1"/>
      <c r="U530" s="1"/>
      <c r="V530" s="1"/>
      <c r="W530" s="1"/>
    </row>
    <row r="531" spans="1:23" ht="23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1"/>
      <c r="R531" s="1"/>
      <c r="S531" s="1"/>
      <c r="T531" s="1"/>
      <c r="U531" s="1"/>
      <c r="V531" s="1"/>
      <c r="W531" s="1"/>
    </row>
    <row r="532" spans="1:23" ht="23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1"/>
      <c r="R532" s="1"/>
      <c r="S532" s="1"/>
      <c r="T532" s="1"/>
      <c r="U532" s="1"/>
      <c r="V532" s="1"/>
      <c r="W532" s="1"/>
    </row>
    <row r="533" spans="1:23" ht="23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1"/>
      <c r="R533" s="1"/>
      <c r="S533" s="1"/>
      <c r="T533" s="1"/>
      <c r="U533" s="1"/>
      <c r="V533" s="1"/>
      <c r="W533" s="1"/>
    </row>
    <row r="534" spans="1:23" ht="23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1"/>
      <c r="R534" s="1"/>
      <c r="S534" s="1"/>
      <c r="T534" s="1"/>
      <c r="U534" s="1"/>
      <c r="V534" s="1"/>
      <c r="W534" s="1"/>
    </row>
    <row r="535" spans="1:23" ht="23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1"/>
      <c r="R535" s="1"/>
      <c r="S535" s="1"/>
      <c r="T535" s="1"/>
      <c r="U535" s="1"/>
      <c r="V535" s="1"/>
      <c r="W535" s="1"/>
    </row>
    <row r="536" spans="1:23" ht="23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1"/>
      <c r="R536" s="1"/>
      <c r="S536" s="1"/>
      <c r="T536" s="1"/>
      <c r="U536" s="1"/>
      <c r="V536" s="1"/>
      <c r="W536" s="1"/>
    </row>
    <row r="537" spans="1:23" ht="23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1"/>
      <c r="R537" s="1"/>
      <c r="S537" s="1"/>
      <c r="T537" s="1"/>
      <c r="U537" s="1"/>
      <c r="V537" s="1"/>
      <c r="W537" s="1"/>
    </row>
    <row r="538" spans="1:23" ht="23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1"/>
      <c r="R538" s="1"/>
      <c r="S538" s="1"/>
      <c r="T538" s="1"/>
      <c r="U538" s="1"/>
      <c r="V538" s="1"/>
      <c r="W538" s="1"/>
    </row>
    <row r="539" spans="1:23" ht="23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1"/>
      <c r="R539" s="1"/>
      <c r="S539" s="1"/>
      <c r="T539" s="1"/>
      <c r="U539" s="1"/>
      <c r="V539" s="1"/>
      <c r="W539" s="1"/>
    </row>
    <row r="540" spans="1:23" ht="23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1"/>
      <c r="R540" s="1"/>
      <c r="S540" s="1"/>
      <c r="T540" s="1"/>
      <c r="U540" s="1"/>
      <c r="V540" s="1"/>
      <c r="W540" s="1"/>
    </row>
    <row r="541" spans="1:23" ht="23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1"/>
      <c r="R541" s="1"/>
      <c r="S541" s="1"/>
      <c r="T541" s="1"/>
      <c r="U541" s="1"/>
      <c r="V541" s="1"/>
      <c r="W541" s="1"/>
    </row>
    <row r="542" spans="1:23" ht="23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1"/>
      <c r="R542" s="1"/>
      <c r="S542" s="1"/>
      <c r="T542" s="1"/>
      <c r="U542" s="1"/>
      <c r="V542" s="1"/>
      <c r="W542" s="1"/>
    </row>
    <row r="543" spans="1:23" ht="23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1"/>
      <c r="R543" s="1"/>
      <c r="S543" s="1"/>
      <c r="T543" s="1"/>
      <c r="U543" s="1"/>
      <c r="V543" s="1"/>
      <c r="W543" s="1"/>
    </row>
    <row r="544" spans="1:23" ht="23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1"/>
      <c r="R544" s="1"/>
      <c r="S544" s="1"/>
      <c r="T544" s="1"/>
      <c r="U544" s="1"/>
      <c r="V544" s="1"/>
      <c r="W544" s="1"/>
    </row>
    <row r="545" spans="1:23" ht="23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1"/>
      <c r="R545" s="1"/>
      <c r="S545" s="1"/>
      <c r="T545" s="1"/>
      <c r="U545" s="1"/>
      <c r="V545" s="1"/>
      <c r="W545" s="1"/>
    </row>
    <row r="546" spans="1:23" ht="23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1"/>
      <c r="R546" s="1"/>
      <c r="S546" s="1"/>
      <c r="T546" s="1"/>
      <c r="U546" s="1"/>
      <c r="V546" s="1"/>
      <c r="W546" s="1"/>
    </row>
    <row r="547" spans="1:23" ht="23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1"/>
      <c r="R547" s="1"/>
      <c r="S547" s="1"/>
      <c r="T547" s="1"/>
      <c r="U547" s="1"/>
      <c r="V547" s="1"/>
      <c r="W547" s="1"/>
    </row>
    <row r="548" spans="1:23" ht="23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1"/>
      <c r="R548" s="1"/>
      <c r="S548" s="1"/>
      <c r="T548" s="1"/>
      <c r="U548" s="1"/>
      <c r="V548" s="1"/>
      <c r="W548" s="1"/>
    </row>
    <row r="549" spans="1:23" ht="23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1"/>
      <c r="R549" s="1"/>
      <c r="S549" s="1"/>
      <c r="T549" s="1"/>
      <c r="U549" s="1"/>
      <c r="V549" s="1"/>
      <c r="W549" s="1"/>
    </row>
    <row r="550" spans="1:23" ht="23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1"/>
      <c r="R550" s="1"/>
      <c r="S550" s="1"/>
      <c r="T550" s="1"/>
      <c r="U550" s="1"/>
      <c r="V550" s="1"/>
      <c r="W550" s="1"/>
    </row>
    <row r="551" spans="1:23" ht="23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1"/>
      <c r="R551" s="1"/>
      <c r="S551" s="1"/>
      <c r="T551" s="1"/>
      <c r="U551" s="1"/>
      <c r="V551" s="1"/>
      <c r="W551" s="1"/>
    </row>
    <row r="552" spans="1:23" ht="23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1"/>
      <c r="R552" s="1"/>
      <c r="S552" s="1"/>
      <c r="T552" s="1"/>
      <c r="U552" s="1"/>
      <c r="V552" s="1"/>
      <c r="W552" s="1"/>
    </row>
    <row r="553" spans="1:23" ht="23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1"/>
      <c r="R553" s="1"/>
      <c r="S553" s="1"/>
      <c r="T553" s="1"/>
      <c r="U553" s="1"/>
      <c r="V553" s="1"/>
      <c r="W553" s="1"/>
    </row>
    <row r="554" spans="1:23" ht="23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1"/>
      <c r="R554" s="1"/>
      <c r="S554" s="1"/>
      <c r="T554" s="1"/>
      <c r="U554" s="1"/>
      <c r="V554" s="1"/>
      <c r="W554" s="1"/>
    </row>
    <row r="555" spans="1:23" ht="23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1"/>
      <c r="R555" s="1"/>
      <c r="S555" s="1"/>
      <c r="T555" s="1"/>
      <c r="U555" s="1"/>
      <c r="V555" s="1"/>
      <c r="W555" s="1"/>
    </row>
    <row r="556" spans="1:23" ht="23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1"/>
      <c r="R556" s="1"/>
      <c r="S556" s="1"/>
      <c r="T556" s="1"/>
      <c r="U556" s="1"/>
      <c r="V556" s="1"/>
      <c r="W556" s="1"/>
    </row>
    <row r="557" spans="1:23" ht="23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1"/>
      <c r="R557" s="1"/>
      <c r="S557" s="1"/>
      <c r="T557" s="1"/>
      <c r="U557" s="1"/>
      <c r="V557" s="1"/>
      <c r="W557" s="1"/>
    </row>
    <row r="558" spans="1:23" ht="23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1"/>
      <c r="R558" s="1"/>
      <c r="S558" s="1"/>
      <c r="T558" s="1"/>
      <c r="U558" s="1"/>
      <c r="V558" s="1"/>
      <c r="W558" s="1"/>
    </row>
    <row r="559" spans="1:23" ht="23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1"/>
      <c r="R559" s="1"/>
      <c r="S559" s="1"/>
      <c r="T559" s="1"/>
      <c r="U559" s="1"/>
      <c r="V559" s="1"/>
      <c r="W559" s="1"/>
    </row>
    <row r="560" spans="1:23" ht="23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1"/>
      <c r="R560" s="1"/>
      <c r="S560" s="1"/>
      <c r="T560" s="1"/>
      <c r="U560" s="1"/>
      <c r="V560" s="1"/>
      <c r="W560" s="1"/>
    </row>
    <row r="561" spans="1:23" ht="23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1"/>
      <c r="R561" s="1"/>
      <c r="S561" s="1"/>
      <c r="T561" s="1"/>
      <c r="U561" s="1"/>
      <c r="V561" s="1"/>
      <c r="W561" s="1"/>
    </row>
    <row r="562" spans="1:23" ht="23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1"/>
      <c r="R562" s="1"/>
      <c r="S562" s="1"/>
      <c r="T562" s="1"/>
      <c r="U562" s="1"/>
      <c r="V562" s="1"/>
      <c r="W562" s="1"/>
    </row>
    <row r="563" spans="1:23" ht="23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1"/>
      <c r="R563" s="1"/>
      <c r="S563" s="1"/>
      <c r="T563" s="1"/>
      <c r="U563" s="1"/>
      <c r="V563" s="1"/>
      <c r="W563" s="1"/>
    </row>
    <row r="564" spans="1:23" ht="23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1"/>
      <c r="R564" s="1"/>
      <c r="S564" s="1"/>
      <c r="T564" s="1"/>
      <c r="U564" s="1"/>
      <c r="V564" s="1"/>
      <c r="W564" s="1"/>
    </row>
    <row r="565" spans="1:23" ht="23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1"/>
      <c r="R565" s="1"/>
      <c r="S565" s="1"/>
      <c r="T565" s="1"/>
      <c r="U565" s="1"/>
      <c r="V565" s="1"/>
      <c r="W565" s="1"/>
    </row>
    <row r="566" spans="1:23" ht="23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1"/>
      <c r="R566" s="1"/>
      <c r="S566" s="1"/>
      <c r="T566" s="1"/>
      <c r="U566" s="1"/>
      <c r="V566" s="1"/>
      <c r="W566" s="1"/>
    </row>
    <row r="567" spans="1:23" ht="23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1"/>
      <c r="R567" s="1"/>
      <c r="S567" s="1"/>
      <c r="T567" s="1"/>
      <c r="U567" s="1"/>
      <c r="V567" s="1"/>
      <c r="W567" s="1"/>
    </row>
    <row r="568" spans="1:23" ht="23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1"/>
      <c r="R568" s="1"/>
      <c r="S568" s="1"/>
      <c r="T568" s="1"/>
      <c r="U568" s="1"/>
      <c r="V568" s="1"/>
      <c r="W568" s="1"/>
    </row>
    <row r="569" spans="1:23" ht="23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1"/>
      <c r="R569" s="1"/>
      <c r="S569" s="1"/>
      <c r="T569" s="1"/>
      <c r="U569" s="1"/>
      <c r="V569" s="1"/>
      <c r="W569" s="1"/>
    </row>
    <row r="570" spans="1:23" ht="23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1"/>
      <c r="R570" s="1"/>
      <c r="S570" s="1"/>
      <c r="T570" s="1"/>
      <c r="U570" s="1"/>
      <c r="V570" s="1"/>
      <c r="W570" s="1"/>
    </row>
    <row r="571" spans="1:23" ht="23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1"/>
      <c r="R571" s="1"/>
      <c r="S571" s="1"/>
      <c r="T571" s="1"/>
      <c r="U571" s="1"/>
      <c r="V571" s="1"/>
      <c r="W571" s="1"/>
    </row>
    <row r="572" spans="1:23" ht="23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1"/>
      <c r="R572" s="1"/>
      <c r="S572" s="1"/>
      <c r="T572" s="1"/>
      <c r="U572" s="1"/>
      <c r="V572" s="1"/>
      <c r="W572" s="1"/>
    </row>
    <row r="573" spans="1:23" ht="23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1"/>
      <c r="R573" s="1"/>
      <c r="S573" s="1"/>
      <c r="T573" s="1"/>
      <c r="U573" s="1"/>
      <c r="V573" s="1"/>
      <c r="W573" s="1"/>
    </row>
    <row r="574" spans="1:23" ht="23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1"/>
      <c r="R574" s="1"/>
      <c r="S574" s="1"/>
      <c r="T574" s="1"/>
      <c r="U574" s="1"/>
      <c r="V574" s="1"/>
      <c r="W574" s="1"/>
    </row>
    <row r="575" spans="1:23" ht="23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1"/>
      <c r="R575" s="1"/>
      <c r="S575" s="1"/>
      <c r="T575" s="1"/>
      <c r="U575" s="1"/>
      <c r="V575" s="1"/>
      <c r="W575" s="1"/>
    </row>
    <row r="576" spans="1:23" ht="23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1"/>
      <c r="R576" s="1"/>
      <c r="S576" s="1"/>
      <c r="T576" s="1"/>
      <c r="U576" s="1"/>
      <c r="V576" s="1"/>
      <c r="W576" s="1"/>
    </row>
    <row r="577" spans="1:23" ht="23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1"/>
      <c r="R577" s="1"/>
      <c r="S577" s="1"/>
      <c r="T577" s="1"/>
      <c r="U577" s="1"/>
      <c r="V577" s="1"/>
      <c r="W577" s="1"/>
    </row>
    <row r="578" spans="1:23" ht="23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1"/>
      <c r="R578" s="1"/>
      <c r="S578" s="1"/>
      <c r="T578" s="1"/>
      <c r="U578" s="1"/>
      <c r="V578" s="1"/>
      <c r="W578" s="1"/>
    </row>
    <row r="579" spans="1:23" ht="23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1"/>
      <c r="R579" s="1"/>
      <c r="S579" s="1"/>
      <c r="T579" s="1"/>
      <c r="U579" s="1"/>
      <c r="V579" s="1"/>
      <c r="W579" s="1"/>
    </row>
    <row r="580" spans="1:23" ht="23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1"/>
      <c r="R580" s="1"/>
      <c r="S580" s="1"/>
      <c r="T580" s="1"/>
      <c r="U580" s="1"/>
      <c r="V580" s="1"/>
      <c r="W580" s="1"/>
    </row>
    <row r="581" spans="1:23" ht="23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1"/>
      <c r="R581" s="1"/>
      <c r="S581" s="1"/>
      <c r="T581" s="1"/>
      <c r="U581" s="1"/>
      <c r="V581" s="1"/>
      <c r="W581" s="1"/>
    </row>
    <row r="582" spans="1:23" ht="23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1"/>
      <c r="R582" s="1"/>
      <c r="S582" s="1"/>
      <c r="T582" s="1"/>
      <c r="U582" s="1"/>
      <c r="V582" s="1"/>
      <c r="W582" s="1"/>
    </row>
    <row r="583" spans="1:23" ht="23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1"/>
      <c r="R583" s="1"/>
      <c r="S583" s="1"/>
      <c r="T583" s="1"/>
      <c r="U583" s="1"/>
      <c r="V583" s="1"/>
      <c r="W583" s="1"/>
    </row>
    <row r="584" spans="1:23" ht="23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1"/>
      <c r="R584" s="1"/>
      <c r="S584" s="1"/>
      <c r="T584" s="1"/>
      <c r="U584" s="1"/>
      <c r="V584" s="1"/>
      <c r="W584" s="1"/>
    </row>
    <row r="585" spans="1:23" ht="23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1"/>
      <c r="R585" s="1"/>
      <c r="S585" s="1"/>
      <c r="T585" s="1"/>
      <c r="U585" s="1"/>
      <c r="V585" s="1"/>
      <c r="W585" s="1"/>
    </row>
    <row r="586" spans="1:23" ht="23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1"/>
      <c r="R586" s="1"/>
      <c r="S586" s="1"/>
      <c r="T586" s="1"/>
      <c r="U586" s="1"/>
      <c r="V586" s="1"/>
      <c r="W586" s="1"/>
    </row>
    <row r="587" spans="1:23" ht="23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1"/>
      <c r="R587" s="1"/>
      <c r="S587" s="1"/>
      <c r="T587" s="1"/>
      <c r="U587" s="1"/>
      <c r="V587" s="1"/>
      <c r="W587" s="1"/>
    </row>
    <row r="588" spans="1:23" ht="23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1"/>
      <c r="R588" s="1"/>
      <c r="S588" s="1"/>
      <c r="T588" s="1"/>
      <c r="U588" s="1"/>
      <c r="V588" s="1"/>
      <c r="W588" s="1"/>
    </row>
    <row r="589" spans="1:23" ht="23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1"/>
      <c r="R589" s="1"/>
      <c r="S589" s="1"/>
      <c r="T589" s="1"/>
      <c r="U589" s="1"/>
      <c r="V589" s="1"/>
      <c r="W589" s="1"/>
    </row>
    <row r="590" spans="1:23" ht="23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1"/>
      <c r="R590" s="1"/>
      <c r="S590" s="1"/>
      <c r="T590" s="1"/>
      <c r="U590" s="1"/>
      <c r="V590" s="1"/>
      <c r="W590" s="1"/>
    </row>
    <row r="591" spans="1:23" ht="23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1"/>
      <c r="R591" s="1"/>
      <c r="S591" s="1"/>
      <c r="T591" s="1"/>
      <c r="U591" s="1"/>
      <c r="V591" s="1"/>
      <c r="W591" s="1"/>
    </row>
    <row r="592" spans="1:23" ht="23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1"/>
      <c r="R592" s="1"/>
      <c r="S592" s="1"/>
      <c r="T592" s="1"/>
      <c r="U592" s="1"/>
      <c r="V592" s="1"/>
      <c r="W592" s="1"/>
    </row>
    <row r="593" spans="1:23" ht="23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1"/>
      <c r="R593" s="1"/>
      <c r="S593" s="1"/>
      <c r="T593" s="1"/>
      <c r="U593" s="1"/>
      <c r="V593" s="1"/>
      <c r="W593" s="1"/>
    </row>
    <row r="594" spans="1:23" ht="23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1"/>
      <c r="R594" s="1"/>
      <c r="S594" s="1"/>
      <c r="T594" s="1"/>
      <c r="U594" s="1"/>
      <c r="V594" s="1"/>
      <c r="W594" s="1"/>
    </row>
    <row r="595" spans="1:23" ht="23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1"/>
      <c r="R595" s="1"/>
      <c r="S595" s="1"/>
      <c r="T595" s="1"/>
      <c r="U595" s="1"/>
      <c r="V595" s="1"/>
      <c r="W595" s="1"/>
    </row>
    <row r="596" spans="1:23" ht="23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1"/>
      <c r="R596" s="1"/>
      <c r="S596" s="1"/>
      <c r="T596" s="1"/>
      <c r="U596" s="1"/>
      <c r="V596" s="1"/>
      <c r="W596" s="1"/>
    </row>
    <row r="597" spans="1:23" ht="23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1"/>
      <c r="R597" s="1"/>
      <c r="S597" s="1"/>
      <c r="T597" s="1"/>
      <c r="U597" s="1"/>
      <c r="V597" s="1"/>
      <c r="W597" s="1"/>
    </row>
    <row r="598" spans="1:23" ht="23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1"/>
      <c r="R598" s="1"/>
      <c r="S598" s="1"/>
      <c r="T598" s="1"/>
      <c r="U598" s="1"/>
      <c r="V598" s="1"/>
      <c r="W598" s="1"/>
    </row>
    <row r="599" spans="1:23" ht="23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1"/>
      <c r="R599" s="1"/>
      <c r="S599" s="1"/>
      <c r="T599" s="1"/>
      <c r="U599" s="1"/>
      <c r="V599" s="1"/>
      <c r="W599" s="1"/>
    </row>
    <row r="600" spans="1:23" ht="23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1"/>
      <c r="R600" s="1"/>
      <c r="S600" s="1"/>
      <c r="T600" s="1"/>
      <c r="U600" s="1"/>
      <c r="V600" s="1"/>
      <c r="W600" s="1"/>
    </row>
    <row r="601" spans="1:23" ht="23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1"/>
      <c r="R601" s="1"/>
      <c r="S601" s="1"/>
      <c r="T601" s="1"/>
      <c r="U601" s="1"/>
      <c r="V601" s="1"/>
      <c r="W601" s="1"/>
    </row>
    <row r="602" spans="1:23" ht="23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1"/>
      <c r="R602" s="1"/>
      <c r="S602" s="1"/>
      <c r="T602" s="1"/>
      <c r="U602" s="1"/>
      <c r="V602" s="1"/>
      <c r="W602" s="1"/>
    </row>
    <row r="603" spans="1:23" ht="23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1"/>
      <c r="R603" s="1"/>
      <c r="S603" s="1"/>
      <c r="T603" s="1"/>
      <c r="U603" s="1"/>
      <c r="V603" s="1"/>
      <c r="W603" s="1"/>
    </row>
    <row r="604" spans="1:23" ht="23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1"/>
      <c r="R604" s="1"/>
      <c r="S604" s="1"/>
      <c r="T604" s="1"/>
      <c r="U604" s="1"/>
      <c r="V604" s="1"/>
      <c r="W604" s="1"/>
    </row>
    <row r="605" spans="1:23" ht="23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1"/>
      <c r="R605" s="1"/>
      <c r="S605" s="1"/>
      <c r="T605" s="1"/>
      <c r="U605" s="1"/>
      <c r="V605" s="1"/>
      <c r="W605" s="1"/>
    </row>
    <row r="606" spans="1:23" ht="23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1"/>
      <c r="R606" s="1"/>
      <c r="S606" s="1"/>
      <c r="T606" s="1"/>
      <c r="U606" s="1"/>
      <c r="V606" s="1"/>
      <c r="W606" s="1"/>
    </row>
    <row r="607" spans="1:23" ht="23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1"/>
      <c r="R607" s="1"/>
      <c r="S607" s="1"/>
      <c r="T607" s="1"/>
      <c r="U607" s="1"/>
      <c r="V607" s="1"/>
      <c r="W607" s="1"/>
    </row>
    <row r="608" spans="1:23" ht="23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1"/>
      <c r="R608" s="1"/>
      <c r="S608" s="1"/>
      <c r="T608" s="1"/>
      <c r="U608" s="1"/>
      <c r="V608" s="1"/>
      <c r="W608" s="1"/>
    </row>
    <row r="609" spans="1:23" ht="23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1"/>
      <c r="R609" s="1"/>
      <c r="S609" s="1"/>
      <c r="T609" s="1"/>
      <c r="U609" s="1"/>
      <c r="V609" s="1"/>
      <c r="W609" s="1"/>
    </row>
    <row r="610" spans="1:23" ht="23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1"/>
      <c r="R610" s="1"/>
      <c r="S610" s="1"/>
      <c r="T610" s="1"/>
      <c r="U610" s="1"/>
      <c r="V610" s="1"/>
      <c r="W610" s="1"/>
    </row>
    <row r="611" spans="1:23" ht="23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1"/>
      <c r="R611" s="1"/>
      <c r="S611" s="1"/>
      <c r="T611" s="1"/>
      <c r="U611" s="1"/>
      <c r="V611" s="1"/>
      <c r="W611" s="1"/>
    </row>
    <row r="612" spans="1:23" ht="23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1"/>
      <c r="R612" s="1"/>
      <c r="S612" s="1"/>
      <c r="T612" s="1"/>
      <c r="U612" s="1"/>
      <c r="V612" s="1"/>
      <c r="W612" s="1"/>
    </row>
    <row r="613" spans="1:23" ht="23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1"/>
      <c r="R613" s="1"/>
      <c r="S613" s="1"/>
      <c r="T613" s="1"/>
      <c r="U613" s="1"/>
      <c r="V613" s="1"/>
      <c r="W613" s="1"/>
    </row>
    <row r="614" spans="1:23" ht="23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1"/>
      <c r="R614" s="1"/>
      <c r="S614" s="1"/>
      <c r="T614" s="1"/>
      <c r="U614" s="1"/>
      <c r="V614" s="1"/>
      <c r="W614" s="1"/>
    </row>
    <row r="615" spans="1:23" ht="23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1"/>
      <c r="R615" s="1"/>
      <c r="S615" s="1"/>
      <c r="T615" s="1"/>
      <c r="U615" s="1"/>
      <c r="V615" s="1"/>
      <c r="W615" s="1"/>
    </row>
    <row r="616" spans="1:23" ht="23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1"/>
      <c r="R616" s="1"/>
      <c r="S616" s="1"/>
      <c r="T616" s="1"/>
      <c r="U616" s="1"/>
      <c r="V616" s="1"/>
      <c r="W616" s="1"/>
    </row>
    <row r="617" spans="1:23" ht="23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1"/>
      <c r="R617" s="1"/>
      <c r="S617" s="1"/>
      <c r="T617" s="1"/>
      <c r="U617" s="1"/>
      <c r="V617" s="1"/>
      <c r="W617" s="1"/>
    </row>
    <row r="618" spans="1:23" ht="23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1"/>
      <c r="R618" s="1"/>
      <c r="S618" s="1"/>
      <c r="T618" s="1"/>
      <c r="U618" s="1"/>
      <c r="V618" s="1"/>
      <c r="W618" s="1"/>
    </row>
    <row r="619" spans="1:23" ht="23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1"/>
      <c r="R619" s="1"/>
      <c r="S619" s="1"/>
      <c r="T619" s="1"/>
      <c r="U619" s="1"/>
      <c r="V619" s="1"/>
      <c r="W619" s="1"/>
    </row>
    <row r="620" spans="1:23" ht="23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1"/>
      <c r="R620" s="1"/>
      <c r="S620" s="1"/>
      <c r="T620" s="1"/>
      <c r="U620" s="1"/>
      <c r="V620" s="1"/>
      <c r="W620" s="1"/>
    </row>
    <row r="621" spans="1:23" ht="23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1"/>
      <c r="R621" s="1"/>
      <c r="S621" s="1"/>
      <c r="T621" s="1"/>
      <c r="U621" s="1"/>
      <c r="V621" s="1"/>
      <c r="W621" s="1"/>
    </row>
    <row r="622" spans="1:23" ht="23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1"/>
      <c r="R622" s="1"/>
      <c r="S622" s="1"/>
      <c r="T622" s="1"/>
      <c r="U622" s="1"/>
      <c r="V622" s="1"/>
      <c r="W622" s="1"/>
    </row>
    <row r="623" spans="1:23" ht="23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1"/>
      <c r="R623" s="1"/>
      <c r="S623" s="1"/>
      <c r="T623" s="1"/>
      <c r="U623" s="1"/>
      <c r="V623" s="1"/>
      <c r="W623" s="1"/>
    </row>
    <row r="624" spans="1:23" ht="23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1"/>
      <c r="R624" s="1"/>
      <c r="S624" s="1"/>
      <c r="T624" s="1"/>
      <c r="U624" s="1"/>
      <c r="V624" s="1"/>
      <c r="W624" s="1"/>
    </row>
    <row r="625" spans="1:23" ht="23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1"/>
      <c r="R625" s="1"/>
      <c r="S625" s="1"/>
      <c r="T625" s="1"/>
      <c r="U625" s="1"/>
      <c r="V625" s="1"/>
      <c r="W625" s="1"/>
    </row>
    <row r="626" spans="1:23" ht="23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1"/>
      <c r="R626" s="1"/>
      <c r="S626" s="1"/>
      <c r="T626" s="1"/>
      <c r="U626" s="1"/>
      <c r="V626" s="1"/>
      <c r="W626" s="1"/>
    </row>
    <row r="627" spans="1:23" ht="23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1"/>
      <c r="R627" s="1"/>
      <c r="S627" s="1"/>
      <c r="T627" s="1"/>
      <c r="U627" s="1"/>
      <c r="V627" s="1"/>
      <c r="W627" s="1"/>
    </row>
    <row r="628" spans="1:23" ht="23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1"/>
      <c r="R628" s="1"/>
      <c r="S628" s="1"/>
      <c r="T628" s="1"/>
      <c r="U628" s="1"/>
      <c r="V628" s="1"/>
      <c r="W628" s="1"/>
    </row>
    <row r="629" spans="1:23" ht="23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1"/>
      <c r="R629" s="1"/>
      <c r="S629" s="1"/>
      <c r="T629" s="1"/>
      <c r="U629" s="1"/>
      <c r="V629" s="1"/>
      <c r="W629" s="1"/>
    </row>
    <row r="630" spans="1:23" ht="23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1"/>
      <c r="R630" s="1"/>
      <c r="S630" s="1"/>
      <c r="T630" s="1"/>
      <c r="U630" s="1"/>
      <c r="V630" s="1"/>
      <c r="W630" s="1"/>
    </row>
    <row r="631" spans="1:23" ht="23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1"/>
      <c r="R631" s="1"/>
      <c r="S631" s="1"/>
      <c r="T631" s="1"/>
      <c r="U631" s="1"/>
      <c r="V631" s="1"/>
      <c r="W631" s="1"/>
    </row>
    <row r="632" spans="1:23" ht="23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1"/>
      <c r="R632" s="1"/>
      <c r="S632" s="1"/>
      <c r="T632" s="1"/>
      <c r="U632" s="1"/>
      <c r="V632" s="1"/>
      <c r="W632" s="1"/>
    </row>
    <row r="633" spans="1:23" ht="23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1"/>
      <c r="R633" s="1"/>
      <c r="S633" s="1"/>
      <c r="T633" s="1"/>
      <c r="U633" s="1"/>
      <c r="V633" s="1"/>
      <c r="W633" s="1"/>
    </row>
    <row r="634" spans="1:23" ht="23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1"/>
      <c r="R634" s="1"/>
      <c r="S634" s="1"/>
      <c r="T634" s="1"/>
      <c r="U634" s="1"/>
      <c r="V634" s="1"/>
      <c r="W634" s="1"/>
    </row>
    <row r="635" spans="1:23" ht="23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1"/>
      <c r="R635" s="1"/>
      <c r="S635" s="1"/>
      <c r="T635" s="1"/>
      <c r="U635" s="1"/>
      <c r="V635" s="1"/>
      <c r="W635" s="1"/>
    </row>
    <row r="636" spans="1:23" ht="23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1"/>
      <c r="R636" s="1"/>
      <c r="S636" s="1"/>
      <c r="T636" s="1"/>
      <c r="U636" s="1"/>
      <c r="V636" s="1"/>
      <c r="W636" s="1"/>
    </row>
    <row r="637" spans="1:23" ht="23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1"/>
      <c r="R637" s="1"/>
      <c r="S637" s="1"/>
      <c r="T637" s="1"/>
      <c r="U637" s="1"/>
      <c r="V637" s="1"/>
      <c r="W637" s="1"/>
    </row>
    <row r="638" spans="1:23" ht="23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1"/>
      <c r="R638" s="1"/>
      <c r="S638" s="1"/>
      <c r="T638" s="1"/>
      <c r="U638" s="1"/>
      <c r="V638" s="1"/>
      <c r="W638" s="1"/>
    </row>
    <row r="639" spans="1:23" ht="23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1"/>
      <c r="R639" s="1"/>
      <c r="S639" s="1"/>
      <c r="T639" s="1"/>
      <c r="U639" s="1"/>
      <c r="V639" s="1"/>
      <c r="W639" s="1"/>
    </row>
    <row r="640" spans="1:23" ht="23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1"/>
      <c r="R640" s="1"/>
      <c r="S640" s="1"/>
      <c r="T640" s="1"/>
      <c r="U640" s="1"/>
      <c r="V640" s="1"/>
      <c r="W640" s="1"/>
    </row>
    <row r="641" spans="1:23" ht="23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1"/>
      <c r="R641" s="1"/>
      <c r="S641" s="1"/>
      <c r="T641" s="1"/>
      <c r="U641" s="1"/>
      <c r="V641" s="1"/>
      <c r="W641" s="1"/>
    </row>
    <row r="642" spans="1:23" ht="23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1"/>
      <c r="R642" s="1"/>
      <c r="S642" s="1"/>
      <c r="T642" s="1"/>
      <c r="U642" s="1"/>
      <c r="V642" s="1"/>
      <c r="W642" s="1"/>
    </row>
    <row r="643" spans="1:23" ht="23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1"/>
      <c r="R643" s="1"/>
      <c r="S643" s="1"/>
      <c r="T643" s="1"/>
      <c r="U643" s="1"/>
      <c r="V643" s="1"/>
      <c r="W643" s="1"/>
    </row>
    <row r="644" spans="1:23" ht="23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1"/>
      <c r="R644" s="1"/>
      <c r="S644" s="1"/>
      <c r="T644" s="1"/>
      <c r="U644" s="1"/>
      <c r="V644" s="1"/>
      <c r="W644" s="1"/>
    </row>
    <row r="645" spans="1:23" ht="23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1"/>
      <c r="R645" s="1"/>
      <c r="S645" s="1"/>
      <c r="T645" s="1"/>
      <c r="U645" s="1"/>
      <c r="V645" s="1"/>
      <c r="W645" s="1"/>
    </row>
    <row r="646" spans="1:23" ht="23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1"/>
      <c r="R646" s="1"/>
      <c r="S646" s="1"/>
      <c r="T646" s="1"/>
      <c r="U646" s="1"/>
      <c r="V646" s="1"/>
      <c r="W646" s="1"/>
    </row>
    <row r="647" spans="1:23" ht="23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1"/>
      <c r="R647" s="1"/>
      <c r="S647" s="1"/>
      <c r="T647" s="1"/>
      <c r="U647" s="1"/>
      <c r="V647" s="1"/>
      <c r="W647" s="1"/>
    </row>
    <row r="648" spans="1:23" ht="23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1"/>
      <c r="R648" s="1"/>
      <c r="S648" s="1"/>
      <c r="T648" s="1"/>
      <c r="U648" s="1"/>
      <c r="V648" s="1"/>
      <c r="W648" s="1"/>
    </row>
    <row r="649" spans="1:23" ht="23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1"/>
      <c r="R649" s="1"/>
      <c r="S649" s="1"/>
      <c r="T649" s="1"/>
      <c r="U649" s="1"/>
      <c r="V649" s="1"/>
      <c r="W649" s="1"/>
    </row>
    <row r="650" spans="1:23" ht="23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1"/>
      <c r="R650" s="1"/>
      <c r="S650" s="1"/>
      <c r="T650" s="1"/>
      <c r="U650" s="1"/>
      <c r="V650" s="1"/>
      <c r="W650" s="1"/>
    </row>
    <row r="651" spans="1:23" ht="23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1"/>
      <c r="R651" s="1"/>
      <c r="S651" s="1"/>
      <c r="T651" s="1"/>
      <c r="U651" s="1"/>
      <c r="V651" s="1"/>
      <c r="W651" s="1"/>
    </row>
    <row r="652" spans="1:23" ht="23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1"/>
      <c r="R652" s="1"/>
      <c r="S652" s="1"/>
      <c r="T652" s="1"/>
      <c r="U652" s="1"/>
      <c r="V652" s="1"/>
      <c r="W652" s="1"/>
    </row>
    <row r="653" spans="1:23" ht="23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1"/>
      <c r="R653" s="1"/>
      <c r="S653" s="1"/>
      <c r="T653" s="1"/>
      <c r="U653" s="1"/>
      <c r="V653" s="1"/>
      <c r="W653" s="1"/>
    </row>
    <row r="654" spans="1:23" ht="23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1"/>
      <c r="R654" s="1"/>
      <c r="S654" s="1"/>
      <c r="T654" s="1"/>
      <c r="U654" s="1"/>
      <c r="V654" s="1"/>
      <c r="W654" s="1"/>
    </row>
    <row r="655" spans="1:23" ht="23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1"/>
      <c r="R655" s="1"/>
      <c r="S655" s="1"/>
      <c r="T655" s="1"/>
      <c r="U655" s="1"/>
      <c r="V655" s="1"/>
      <c r="W655" s="1"/>
    </row>
    <row r="656" spans="1:23" ht="23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1"/>
      <c r="R656" s="1"/>
      <c r="S656" s="1"/>
      <c r="T656" s="1"/>
      <c r="U656" s="1"/>
      <c r="V656" s="1"/>
      <c r="W656" s="1"/>
    </row>
    <row r="657" spans="1:23" ht="23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1"/>
      <c r="R657" s="1"/>
      <c r="S657" s="1"/>
      <c r="T657" s="1"/>
      <c r="U657" s="1"/>
      <c r="V657" s="1"/>
      <c r="W657" s="1"/>
    </row>
    <row r="658" spans="1:23" ht="23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1"/>
      <c r="R658" s="1"/>
      <c r="S658" s="1"/>
      <c r="T658" s="1"/>
      <c r="U658" s="1"/>
      <c r="V658" s="1"/>
      <c r="W658" s="1"/>
    </row>
    <row r="659" spans="1:23" ht="23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1"/>
      <c r="R659" s="1"/>
      <c r="S659" s="1"/>
      <c r="T659" s="1"/>
      <c r="U659" s="1"/>
      <c r="V659" s="1"/>
      <c r="W659" s="1"/>
    </row>
    <row r="660" spans="1:23" ht="23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1"/>
      <c r="R660" s="1"/>
      <c r="S660" s="1"/>
      <c r="T660" s="1"/>
      <c r="U660" s="1"/>
      <c r="V660" s="1"/>
      <c r="W660" s="1"/>
    </row>
    <row r="661" spans="1:23" ht="23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1"/>
      <c r="R661" s="1"/>
      <c r="S661" s="1"/>
      <c r="T661" s="1"/>
      <c r="U661" s="1"/>
      <c r="V661" s="1"/>
      <c r="W661" s="1"/>
    </row>
    <row r="662" spans="1:23" ht="23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1"/>
      <c r="R662" s="1"/>
      <c r="S662" s="1"/>
      <c r="T662" s="1"/>
      <c r="U662" s="1"/>
      <c r="V662" s="1"/>
      <c r="W662" s="1"/>
    </row>
    <row r="663" spans="1:23" ht="23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1"/>
      <c r="R663" s="1"/>
      <c r="S663" s="1"/>
      <c r="T663" s="1"/>
      <c r="U663" s="1"/>
      <c r="V663" s="1"/>
      <c r="W663" s="1"/>
    </row>
    <row r="664" spans="1:23" ht="23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1"/>
      <c r="R664" s="1"/>
      <c r="S664" s="1"/>
      <c r="T664" s="1"/>
      <c r="U664" s="1"/>
      <c r="V664" s="1"/>
      <c r="W664" s="1"/>
    </row>
    <row r="665" spans="1:23" ht="23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1"/>
      <c r="R665" s="1"/>
      <c r="S665" s="1"/>
      <c r="T665" s="1"/>
      <c r="U665" s="1"/>
      <c r="V665" s="1"/>
      <c r="W665" s="1"/>
    </row>
    <row r="666" spans="1:23" ht="23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1"/>
      <c r="R666" s="1"/>
      <c r="S666" s="1"/>
      <c r="T666" s="1"/>
      <c r="U666" s="1"/>
      <c r="V666" s="1"/>
      <c r="W666" s="1"/>
    </row>
    <row r="667" spans="1:23" ht="23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1"/>
      <c r="R667" s="1"/>
      <c r="S667" s="1"/>
      <c r="T667" s="1"/>
      <c r="U667" s="1"/>
      <c r="V667" s="1"/>
      <c r="W667" s="1"/>
    </row>
    <row r="668" spans="1:23" ht="23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1"/>
      <c r="R668" s="1"/>
      <c r="S668" s="1"/>
      <c r="T668" s="1"/>
      <c r="U668" s="1"/>
      <c r="V668" s="1"/>
      <c r="W668" s="1"/>
    </row>
    <row r="669" spans="1:23" ht="23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1"/>
      <c r="R669" s="1"/>
      <c r="S669" s="1"/>
      <c r="T669" s="1"/>
      <c r="U669" s="1"/>
      <c r="V669" s="1"/>
      <c r="W669" s="1"/>
    </row>
    <row r="670" spans="1:23" ht="23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1"/>
      <c r="R670" s="1"/>
      <c r="S670" s="1"/>
      <c r="T670" s="1"/>
      <c r="U670" s="1"/>
      <c r="V670" s="1"/>
      <c r="W670" s="1"/>
    </row>
    <row r="671" spans="1:23" ht="23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1"/>
      <c r="R671" s="1"/>
      <c r="S671" s="1"/>
      <c r="T671" s="1"/>
      <c r="U671" s="1"/>
      <c r="V671" s="1"/>
      <c r="W671" s="1"/>
    </row>
    <row r="672" spans="1:23" ht="23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1"/>
      <c r="R672" s="1"/>
      <c r="S672" s="1"/>
      <c r="T672" s="1"/>
      <c r="U672" s="1"/>
      <c r="V672" s="1"/>
      <c r="W672" s="1"/>
    </row>
    <row r="673" spans="1:23" ht="23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1"/>
      <c r="R673" s="1"/>
      <c r="S673" s="1"/>
      <c r="T673" s="1"/>
      <c r="U673" s="1"/>
      <c r="V673" s="1"/>
      <c r="W673" s="1"/>
    </row>
    <row r="674" spans="1:23" ht="23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1"/>
      <c r="R674" s="1"/>
      <c r="S674" s="1"/>
      <c r="T674" s="1"/>
      <c r="U674" s="1"/>
      <c r="V674" s="1"/>
      <c r="W674" s="1"/>
    </row>
    <row r="675" spans="1:23" ht="23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1"/>
      <c r="R675" s="1"/>
      <c r="S675" s="1"/>
      <c r="T675" s="1"/>
      <c r="U675" s="1"/>
      <c r="V675" s="1"/>
      <c r="W675" s="1"/>
    </row>
    <row r="676" spans="1:23" ht="23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1"/>
      <c r="R676" s="1"/>
      <c r="S676" s="1"/>
      <c r="T676" s="1"/>
      <c r="U676" s="1"/>
      <c r="V676" s="1"/>
      <c r="W676" s="1"/>
    </row>
    <row r="677" spans="1:23" ht="23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1"/>
      <c r="R677" s="1"/>
      <c r="S677" s="1"/>
      <c r="T677" s="1"/>
      <c r="U677" s="1"/>
      <c r="V677" s="1"/>
      <c r="W677" s="1"/>
    </row>
    <row r="678" spans="1:23" ht="23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1"/>
      <c r="R678" s="1"/>
      <c r="S678" s="1"/>
      <c r="T678" s="1"/>
      <c r="U678" s="1"/>
      <c r="V678" s="1"/>
      <c r="W678" s="1"/>
    </row>
    <row r="679" spans="1:23" ht="23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1"/>
      <c r="R679" s="1"/>
      <c r="S679" s="1"/>
      <c r="T679" s="1"/>
      <c r="U679" s="1"/>
      <c r="V679" s="1"/>
      <c r="W679" s="1"/>
    </row>
    <row r="680" spans="1:23" ht="23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1"/>
      <c r="R680" s="1"/>
      <c r="S680" s="1"/>
      <c r="T680" s="1"/>
      <c r="U680" s="1"/>
      <c r="V680" s="1"/>
      <c r="W680" s="1"/>
    </row>
    <row r="681" spans="1:23" ht="23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1"/>
      <c r="R681" s="1"/>
      <c r="S681" s="1"/>
      <c r="T681" s="1"/>
      <c r="U681" s="1"/>
      <c r="V681" s="1"/>
      <c r="W681" s="1"/>
    </row>
    <row r="682" spans="1:23" ht="23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1"/>
      <c r="R682" s="1"/>
      <c r="S682" s="1"/>
      <c r="T682" s="1"/>
      <c r="U682" s="1"/>
      <c r="V682" s="1"/>
      <c r="W682" s="1"/>
    </row>
    <row r="683" spans="1:23" ht="23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1"/>
      <c r="R683" s="1"/>
      <c r="S683" s="1"/>
      <c r="T683" s="1"/>
      <c r="U683" s="1"/>
      <c r="V683" s="1"/>
      <c r="W683" s="1"/>
    </row>
    <row r="684" spans="1:23" ht="23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1"/>
      <c r="R684" s="1"/>
      <c r="S684" s="1"/>
      <c r="T684" s="1"/>
      <c r="U684" s="1"/>
      <c r="V684" s="1"/>
      <c r="W684" s="1"/>
    </row>
    <row r="685" spans="1:23" ht="23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1"/>
      <c r="R685" s="1"/>
      <c r="S685" s="1"/>
      <c r="T685" s="1"/>
      <c r="U685" s="1"/>
      <c r="V685" s="1"/>
      <c r="W685" s="1"/>
    </row>
    <row r="686" spans="1:23" ht="23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1"/>
      <c r="R686" s="1"/>
      <c r="S686" s="1"/>
      <c r="T686" s="1"/>
      <c r="U686" s="1"/>
      <c r="V686" s="1"/>
      <c r="W686" s="1"/>
    </row>
    <row r="687" spans="1:23" ht="23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1"/>
      <c r="R687" s="1"/>
      <c r="S687" s="1"/>
      <c r="T687" s="1"/>
      <c r="U687" s="1"/>
      <c r="V687" s="1"/>
      <c r="W687" s="1"/>
    </row>
    <row r="688" spans="1:23" ht="23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1"/>
      <c r="R688" s="1"/>
      <c r="S688" s="1"/>
      <c r="T688" s="1"/>
      <c r="U688" s="1"/>
      <c r="V688" s="1"/>
      <c r="W688" s="1"/>
    </row>
    <row r="689" spans="1:23" ht="23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1"/>
      <c r="R689" s="1"/>
      <c r="S689" s="1"/>
      <c r="T689" s="1"/>
      <c r="U689" s="1"/>
      <c r="V689" s="1"/>
      <c r="W689" s="1"/>
    </row>
    <row r="690" spans="1:23" ht="23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1"/>
      <c r="R690" s="1"/>
      <c r="S690" s="1"/>
      <c r="T690" s="1"/>
      <c r="U690" s="1"/>
      <c r="V690" s="1"/>
      <c r="W690" s="1"/>
    </row>
    <row r="691" spans="1:23" ht="23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1"/>
      <c r="R691" s="1"/>
      <c r="S691" s="1"/>
      <c r="T691" s="1"/>
      <c r="U691" s="1"/>
      <c r="V691" s="1"/>
      <c r="W691" s="1"/>
    </row>
    <row r="692" spans="1:23" ht="23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1"/>
      <c r="R692" s="1"/>
      <c r="S692" s="1"/>
      <c r="T692" s="1"/>
      <c r="U692" s="1"/>
      <c r="V692" s="1"/>
      <c r="W692" s="1"/>
    </row>
    <row r="693" spans="1:23" ht="23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1"/>
      <c r="R693" s="1"/>
      <c r="S693" s="1"/>
      <c r="T693" s="1"/>
      <c r="U693" s="1"/>
      <c r="V693" s="1"/>
      <c r="W693" s="1"/>
    </row>
    <row r="694" spans="1:23" ht="23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1"/>
      <c r="R694" s="1"/>
      <c r="S694" s="1"/>
      <c r="T694" s="1"/>
      <c r="U694" s="1"/>
      <c r="V694" s="1"/>
      <c r="W694" s="1"/>
    </row>
    <row r="695" spans="1:23" ht="23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1"/>
      <c r="R695" s="1"/>
      <c r="S695" s="1"/>
      <c r="T695" s="1"/>
      <c r="U695" s="1"/>
      <c r="V695" s="1"/>
      <c r="W695" s="1"/>
    </row>
    <row r="696" spans="1:23" ht="23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1"/>
      <c r="R696" s="1"/>
      <c r="S696" s="1"/>
      <c r="T696" s="1"/>
      <c r="U696" s="1"/>
      <c r="V696" s="1"/>
      <c r="W696" s="1"/>
    </row>
    <row r="697" spans="1:23" ht="23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1"/>
      <c r="R697" s="1"/>
      <c r="S697" s="1"/>
      <c r="T697" s="1"/>
      <c r="U697" s="1"/>
      <c r="V697" s="1"/>
      <c r="W697" s="1"/>
    </row>
    <row r="698" spans="1:23" ht="23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1"/>
      <c r="R698" s="1"/>
      <c r="S698" s="1"/>
      <c r="T698" s="1"/>
      <c r="U698" s="1"/>
      <c r="V698" s="1"/>
      <c r="W698" s="1"/>
    </row>
    <row r="699" spans="1:23" ht="23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1"/>
      <c r="R699" s="1"/>
      <c r="S699" s="1"/>
      <c r="T699" s="1"/>
      <c r="U699" s="1"/>
      <c r="V699" s="1"/>
      <c r="W699" s="1"/>
    </row>
    <row r="700" spans="1:23" ht="23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1"/>
      <c r="R700" s="1"/>
      <c r="S700" s="1"/>
      <c r="T700" s="1"/>
      <c r="U700" s="1"/>
      <c r="V700" s="1"/>
      <c r="W700" s="1"/>
    </row>
    <row r="701" spans="1:23" ht="23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1"/>
      <c r="R701" s="1"/>
      <c r="S701" s="1"/>
      <c r="T701" s="1"/>
      <c r="U701" s="1"/>
      <c r="V701" s="1"/>
      <c r="W701" s="1"/>
    </row>
    <row r="702" spans="1:23" ht="23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1"/>
      <c r="R702" s="1"/>
      <c r="S702" s="1"/>
      <c r="T702" s="1"/>
      <c r="U702" s="1"/>
      <c r="V702" s="1"/>
      <c r="W702" s="1"/>
    </row>
    <row r="703" spans="1:23" ht="23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1"/>
      <c r="R703" s="1"/>
      <c r="S703" s="1"/>
      <c r="T703" s="1"/>
      <c r="U703" s="1"/>
      <c r="V703" s="1"/>
      <c r="W703" s="1"/>
    </row>
    <row r="704" spans="1:23" ht="23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1"/>
      <c r="R704" s="1"/>
      <c r="S704" s="1"/>
      <c r="T704" s="1"/>
      <c r="U704" s="1"/>
      <c r="V704" s="1"/>
      <c r="W704" s="1"/>
    </row>
    <row r="705" spans="1:23" ht="23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1"/>
      <c r="R705" s="1"/>
      <c r="S705" s="1"/>
      <c r="T705" s="1"/>
      <c r="U705" s="1"/>
      <c r="V705" s="1"/>
      <c r="W705" s="1"/>
    </row>
    <row r="706" spans="1:23" ht="23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1"/>
      <c r="R706" s="1"/>
      <c r="S706" s="1"/>
      <c r="T706" s="1"/>
      <c r="U706" s="1"/>
      <c r="V706" s="1"/>
      <c r="W706" s="1"/>
    </row>
    <row r="707" spans="1:23" ht="23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1"/>
      <c r="R707" s="1"/>
      <c r="S707" s="1"/>
      <c r="T707" s="1"/>
      <c r="U707" s="1"/>
      <c r="V707" s="1"/>
      <c r="W707" s="1"/>
    </row>
    <row r="708" spans="1:23" ht="23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1"/>
      <c r="R708" s="1"/>
      <c r="S708" s="1"/>
      <c r="T708" s="1"/>
      <c r="U708" s="1"/>
      <c r="V708" s="1"/>
      <c r="W708" s="1"/>
    </row>
    <row r="709" spans="1:23" ht="23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1"/>
      <c r="R709" s="1"/>
      <c r="S709" s="1"/>
      <c r="T709" s="1"/>
      <c r="U709" s="1"/>
      <c r="V709" s="1"/>
      <c r="W709" s="1"/>
    </row>
    <row r="710" spans="1:23" ht="23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1"/>
      <c r="R710" s="1"/>
      <c r="S710" s="1"/>
      <c r="T710" s="1"/>
      <c r="U710" s="1"/>
      <c r="V710" s="1"/>
      <c r="W710" s="1"/>
    </row>
    <row r="711" spans="1:23" ht="23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1"/>
      <c r="R711" s="1"/>
      <c r="S711" s="1"/>
      <c r="T711" s="1"/>
      <c r="U711" s="1"/>
      <c r="V711" s="1"/>
      <c r="W711" s="1"/>
    </row>
    <row r="712" spans="1:23" ht="23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1"/>
      <c r="R712" s="1"/>
      <c r="S712" s="1"/>
      <c r="T712" s="1"/>
      <c r="U712" s="1"/>
      <c r="V712" s="1"/>
      <c r="W712" s="1"/>
    </row>
    <row r="713" spans="1:23" ht="23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1"/>
      <c r="R713" s="1"/>
      <c r="S713" s="1"/>
      <c r="T713" s="1"/>
      <c r="U713" s="1"/>
      <c r="V713" s="1"/>
      <c r="W713" s="1"/>
    </row>
    <row r="714" spans="1:23" ht="23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1"/>
      <c r="R714" s="1"/>
      <c r="S714" s="1"/>
      <c r="T714" s="1"/>
      <c r="U714" s="1"/>
      <c r="V714" s="1"/>
      <c r="W714" s="1"/>
    </row>
    <row r="715" spans="1:23" ht="23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1"/>
      <c r="R715" s="1"/>
      <c r="S715" s="1"/>
      <c r="T715" s="1"/>
      <c r="U715" s="1"/>
      <c r="V715" s="1"/>
      <c r="W715" s="1"/>
    </row>
    <row r="716" spans="1:23" ht="23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1"/>
      <c r="R716" s="1"/>
      <c r="S716" s="1"/>
      <c r="T716" s="1"/>
      <c r="U716" s="1"/>
      <c r="V716" s="1"/>
      <c r="W716" s="1"/>
    </row>
    <row r="717" spans="1:23" ht="23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1"/>
      <c r="R717" s="1"/>
      <c r="S717" s="1"/>
      <c r="T717" s="1"/>
      <c r="U717" s="1"/>
      <c r="V717" s="1"/>
      <c r="W717" s="1"/>
    </row>
    <row r="718" spans="1:23" ht="23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1"/>
      <c r="R718" s="1"/>
      <c r="S718" s="1"/>
      <c r="T718" s="1"/>
      <c r="U718" s="1"/>
      <c r="V718" s="1"/>
      <c r="W718" s="1"/>
    </row>
    <row r="719" spans="1:23" ht="23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1"/>
      <c r="R719" s="1"/>
      <c r="S719" s="1"/>
      <c r="T719" s="1"/>
      <c r="U719" s="1"/>
      <c r="V719" s="1"/>
      <c r="W719" s="1"/>
    </row>
    <row r="720" spans="1:23" ht="23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1"/>
      <c r="R720" s="1"/>
      <c r="S720" s="1"/>
      <c r="T720" s="1"/>
      <c r="U720" s="1"/>
      <c r="V720" s="1"/>
      <c r="W720" s="1"/>
    </row>
    <row r="721" spans="1:23" ht="23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1"/>
      <c r="R721" s="1"/>
      <c r="S721" s="1"/>
      <c r="T721" s="1"/>
      <c r="U721" s="1"/>
      <c r="V721" s="1"/>
      <c r="W721" s="1"/>
    </row>
    <row r="722" spans="1:23" ht="23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1"/>
      <c r="R722" s="1"/>
      <c r="S722" s="1"/>
      <c r="T722" s="1"/>
      <c r="U722" s="1"/>
      <c r="V722" s="1"/>
      <c r="W722" s="1"/>
    </row>
    <row r="723" spans="1:23" ht="23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1"/>
      <c r="R723" s="1"/>
      <c r="S723" s="1"/>
      <c r="T723" s="1"/>
      <c r="U723" s="1"/>
      <c r="V723" s="1"/>
      <c r="W723" s="1"/>
    </row>
    <row r="724" spans="1:23" ht="23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1"/>
      <c r="R724" s="1"/>
      <c r="S724" s="1"/>
      <c r="T724" s="1"/>
      <c r="U724" s="1"/>
      <c r="V724" s="1"/>
      <c r="W724" s="1"/>
    </row>
    <row r="725" spans="1:23" ht="23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1"/>
      <c r="R725" s="1"/>
      <c r="S725" s="1"/>
      <c r="T725" s="1"/>
      <c r="U725" s="1"/>
      <c r="V725" s="1"/>
      <c r="W725" s="1"/>
    </row>
    <row r="726" spans="1:23" ht="23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1"/>
      <c r="R726" s="1"/>
      <c r="S726" s="1"/>
      <c r="T726" s="1"/>
      <c r="U726" s="1"/>
      <c r="V726" s="1"/>
      <c r="W726" s="1"/>
    </row>
    <row r="727" spans="1:23" ht="23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1"/>
      <c r="R727" s="1"/>
      <c r="S727" s="1"/>
      <c r="T727" s="1"/>
      <c r="U727" s="1"/>
      <c r="V727" s="1"/>
      <c r="W727" s="1"/>
    </row>
    <row r="728" spans="1:23" ht="23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1"/>
      <c r="R728" s="1"/>
      <c r="S728" s="1"/>
      <c r="T728" s="1"/>
      <c r="U728" s="1"/>
      <c r="V728" s="1"/>
      <c r="W728" s="1"/>
    </row>
    <row r="729" spans="1:23" ht="23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1"/>
      <c r="R729" s="1"/>
      <c r="S729" s="1"/>
      <c r="T729" s="1"/>
      <c r="U729" s="1"/>
      <c r="V729" s="1"/>
      <c r="W729" s="1"/>
    </row>
    <row r="730" spans="1:23" ht="23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1"/>
      <c r="R730" s="1"/>
      <c r="S730" s="1"/>
      <c r="T730" s="1"/>
      <c r="U730" s="1"/>
      <c r="V730" s="1"/>
      <c r="W730" s="1"/>
    </row>
    <row r="731" spans="1:23" ht="23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1"/>
      <c r="R731" s="1"/>
      <c r="S731" s="1"/>
      <c r="T731" s="1"/>
      <c r="U731" s="1"/>
      <c r="V731" s="1"/>
      <c r="W731" s="1"/>
    </row>
    <row r="732" spans="1:23" ht="23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1"/>
      <c r="R732" s="1"/>
      <c r="S732" s="1"/>
      <c r="T732" s="1"/>
      <c r="U732" s="1"/>
      <c r="V732" s="1"/>
      <c r="W732" s="1"/>
    </row>
    <row r="733" spans="1:23" ht="23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1"/>
      <c r="R733" s="1"/>
      <c r="S733" s="1"/>
      <c r="T733" s="1"/>
      <c r="U733" s="1"/>
      <c r="V733" s="1"/>
      <c r="W733" s="1"/>
    </row>
    <row r="734" spans="1:23" ht="23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1"/>
      <c r="R734" s="1"/>
      <c r="S734" s="1"/>
      <c r="T734" s="1"/>
      <c r="U734" s="1"/>
      <c r="V734" s="1"/>
      <c r="W734" s="1"/>
    </row>
    <row r="735" spans="1:23" ht="23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1"/>
      <c r="R735" s="1"/>
      <c r="S735" s="1"/>
      <c r="T735" s="1"/>
      <c r="U735" s="1"/>
      <c r="V735" s="1"/>
      <c r="W735" s="1"/>
    </row>
    <row r="736" spans="1:23" ht="23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1"/>
      <c r="R736" s="1"/>
      <c r="S736" s="1"/>
      <c r="T736" s="1"/>
      <c r="U736" s="1"/>
      <c r="V736" s="1"/>
      <c r="W736" s="1"/>
    </row>
    <row r="737" spans="1:23" ht="23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1"/>
      <c r="R737" s="1"/>
      <c r="S737" s="1"/>
      <c r="T737" s="1"/>
      <c r="U737" s="1"/>
      <c r="V737" s="1"/>
      <c r="W737" s="1"/>
    </row>
    <row r="738" spans="1:23" ht="23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1"/>
      <c r="R738" s="1"/>
      <c r="S738" s="1"/>
      <c r="T738" s="1"/>
      <c r="U738" s="1"/>
      <c r="V738" s="1"/>
      <c r="W738" s="1"/>
    </row>
    <row r="739" spans="1:23" ht="23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1"/>
      <c r="R739" s="1"/>
      <c r="S739" s="1"/>
      <c r="T739" s="1"/>
      <c r="U739" s="1"/>
      <c r="V739" s="1"/>
      <c r="W739" s="1"/>
    </row>
    <row r="740" spans="1:23" ht="23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1"/>
      <c r="R740" s="1"/>
      <c r="S740" s="1"/>
      <c r="T740" s="1"/>
      <c r="U740" s="1"/>
      <c r="V740" s="1"/>
      <c r="W740" s="1"/>
    </row>
    <row r="741" spans="1:23" ht="23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1"/>
      <c r="R741" s="1"/>
      <c r="S741" s="1"/>
      <c r="T741" s="1"/>
      <c r="U741" s="1"/>
      <c r="V741" s="1"/>
      <c r="W741" s="1"/>
    </row>
    <row r="742" spans="1:23" ht="23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1"/>
      <c r="R742" s="1"/>
      <c r="S742" s="1"/>
      <c r="T742" s="1"/>
      <c r="U742" s="1"/>
      <c r="V742" s="1"/>
      <c r="W742" s="1"/>
    </row>
    <row r="743" spans="1:23" ht="23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1"/>
      <c r="R743" s="1"/>
      <c r="S743" s="1"/>
      <c r="T743" s="1"/>
      <c r="U743" s="1"/>
      <c r="V743" s="1"/>
      <c r="W743" s="1"/>
    </row>
    <row r="744" spans="1:23" ht="23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1"/>
      <c r="R744" s="1"/>
      <c r="S744" s="1"/>
      <c r="T744" s="1"/>
      <c r="U744" s="1"/>
      <c r="V744" s="1"/>
      <c r="W744" s="1"/>
    </row>
    <row r="745" spans="1:23" ht="23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1"/>
      <c r="R745" s="1"/>
      <c r="S745" s="1"/>
      <c r="T745" s="1"/>
      <c r="U745" s="1"/>
      <c r="V745" s="1"/>
      <c r="W745" s="1"/>
    </row>
    <row r="746" spans="1:23" ht="23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1"/>
      <c r="R746" s="1"/>
      <c r="S746" s="1"/>
      <c r="T746" s="1"/>
      <c r="U746" s="1"/>
      <c r="V746" s="1"/>
      <c r="W746" s="1"/>
    </row>
    <row r="747" spans="1:23" ht="23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1"/>
      <c r="R747" s="1"/>
      <c r="S747" s="1"/>
      <c r="T747" s="1"/>
      <c r="U747" s="1"/>
      <c r="V747" s="1"/>
      <c r="W747" s="1"/>
    </row>
    <row r="748" spans="1:23" ht="23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1"/>
      <c r="R748" s="1"/>
      <c r="S748" s="1"/>
      <c r="T748" s="1"/>
      <c r="U748" s="1"/>
      <c r="V748" s="1"/>
      <c r="W748" s="1"/>
    </row>
    <row r="749" spans="1:23" ht="23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1"/>
      <c r="R749" s="1"/>
      <c r="S749" s="1"/>
      <c r="T749" s="1"/>
      <c r="U749" s="1"/>
      <c r="V749" s="1"/>
      <c r="W749" s="1"/>
    </row>
    <row r="750" spans="1:23" ht="23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1"/>
      <c r="R750" s="1"/>
      <c r="S750" s="1"/>
      <c r="T750" s="1"/>
      <c r="U750" s="1"/>
      <c r="V750" s="1"/>
      <c r="W750" s="1"/>
    </row>
    <row r="751" spans="1:23" ht="23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1"/>
      <c r="R751" s="1"/>
      <c r="S751" s="1"/>
      <c r="T751" s="1"/>
      <c r="U751" s="1"/>
      <c r="V751" s="1"/>
      <c r="W751" s="1"/>
    </row>
    <row r="752" spans="1:23" ht="23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1"/>
      <c r="R752" s="1"/>
      <c r="S752" s="1"/>
      <c r="T752" s="1"/>
      <c r="U752" s="1"/>
      <c r="V752" s="1"/>
      <c r="W752" s="1"/>
    </row>
    <row r="753" spans="1:23" ht="23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1"/>
      <c r="R753" s="1"/>
      <c r="S753" s="1"/>
      <c r="T753" s="1"/>
      <c r="U753" s="1"/>
      <c r="V753" s="1"/>
      <c r="W753" s="1"/>
    </row>
    <row r="754" spans="1:23" ht="23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1"/>
      <c r="R754" s="1"/>
      <c r="S754" s="1"/>
      <c r="T754" s="1"/>
      <c r="U754" s="1"/>
      <c r="V754" s="1"/>
      <c r="W754" s="1"/>
    </row>
    <row r="755" spans="1:23" ht="23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1"/>
      <c r="R755" s="1"/>
      <c r="S755" s="1"/>
      <c r="T755" s="1"/>
      <c r="U755" s="1"/>
      <c r="V755" s="1"/>
      <c r="W755" s="1"/>
    </row>
    <row r="756" spans="1:23" ht="23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1"/>
      <c r="R756" s="1"/>
      <c r="S756" s="1"/>
      <c r="T756" s="1"/>
      <c r="U756" s="1"/>
      <c r="V756" s="1"/>
      <c r="W756" s="1"/>
    </row>
    <row r="757" spans="1:23" ht="23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1"/>
      <c r="R757" s="1"/>
      <c r="S757" s="1"/>
      <c r="T757" s="1"/>
      <c r="U757" s="1"/>
      <c r="V757" s="1"/>
      <c r="W757" s="1"/>
    </row>
    <row r="758" spans="1:23" ht="23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1"/>
      <c r="R758" s="1"/>
      <c r="S758" s="1"/>
      <c r="T758" s="1"/>
      <c r="U758" s="1"/>
      <c r="V758" s="1"/>
      <c r="W758" s="1"/>
    </row>
    <row r="759" spans="1:23" ht="23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1"/>
      <c r="R759" s="1"/>
      <c r="S759" s="1"/>
      <c r="T759" s="1"/>
      <c r="U759" s="1"/>
      <c r="V759" s="1"/>
      <c r="W759" s="1"/>
    </row>
    <row r="760" spans="1:23" ht="23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1"/>
      <c r="R760" s="1"/>
      <c r="S760" s="1"/>
      <c r="T760" s="1"/>
      <c r="U760" s="1"/>
      <c r="V760" s="1"/>
      <c r="W760" s="1"/>
    </row>
    <row r="761" spans="1:23" ht="23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1"/>
      <c r="R761" s="1"/>
      <c r="S761" s="1"/>
      <c r="T761" s="1"/>
      <c r="U761" s="1"/>
      <c r="V761" s="1"/>
      <c r="W761" s="1"/>
    </row>
    <row r="762" spans="1:23" ht="23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1"/>
      <c r="R762" s="1"/>
      <c r="S762" s="1"/>
      <c r="T762" s="1"/>
      <c r="U762" s="1"/>
      <c r="V762" s="1"/>
      <c r="W762" s="1"/>
    </row>
    <row r="763" spans="1:23" ht="23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1"/>
      <c r="R763" s="1"/>
      <c r="S763" s="1"/>
      <c r="T763" s="1"/>
      <c r="U763" s="1"/>
      <c r="V763" s="1"/>
      <c r="W763" s="1"/>
    </row>
    <row r="764" spans="1:23" ht="23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1"/>
      <c r="R764" s="1"/>
      <c r="S764" s="1"/>
      <c r="T764" s="1"/>
      <c r="U764" s="1"/>
      <c r="V764" s="1"/>
      <c r="W764" s="1"/>
    </row>
    <row r="765" spans="1:23" ht="23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1"/>
      <c r="R765" s="1"/>
      <c r="S765" s="1"/>
      <c r="T765" s="1"/>
      <c r="U765" s="1"/>
      <c r="V765" s="1"/>
      <c r="W765" s="1"/>
    </row>
    <row r="766" spans="1:23" ht="23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1"/>
      <c r="R766" s="1"/>
      <c r="S766" s="1"/>
      <c r="T766" s="1"/>
      <c r="U766" s="1"/>
      <c r="V766" s="1"/>
      <c r="W766" s="1"/>
    </row>
    <row r="767" spans="1:23" ht="23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1"/>
      <c r="R767" s="1"/>
      <c r="S767" s="1"/>
      <c r="T767" s="1"/>
      <c r="U767" s="1"/>
      <c r="V767" s="1"/>
      <c r="W767" s="1"/>
    </row>
    <row r="768" spans="1:23" ht="23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1"/>
      <c r="R768" s="1"/>
      <c r="S768" s="1"/>
      <c r="T768" s="1"/>
      <c r="U768" s="1"/>
      <c r="V768" s="1"/>
      <c r="W768" s="1"/>
    </row>
    <row r="769" spans="1:23" ht="23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1"/>
      <c r="R769" s="1"/>
      <c r="S769" s="1"/>
      <c r="T769" s="1"/>
      <c r="U769" s="1"/>
      <c r="V769" s="1"/>
      <c r="W769" s="1"/>
    </row>
    <row r="770" spans="1:23" ht="23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1"/>
      <c r="R770" s="1"/>
      <c r="S770" s="1"/>
      <c r="T770" s="1"/>
      <c r="U770" s="1"/>
      <c r="V770" s="1"/>
      <c r="W770" s="1"/>
    </row>
    <row r="771" spans="1:23" ht="23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1"/>
      <c r="R771" s="1"/>
      <c r="S771" s="1"/>
      <c r="T771" s="1"/>
      <c r="U771" s="1"/>
      <c r="V771" s="1"/>
      <c r="W771" s="1"/>
    </row>
    <row r="772" spans="1:23" ht="23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1"/>
      <c r="R772" s="1"/>
      <c r="S772" s="1"/>
      <c r="T772" s="1"/>
      <c r="U772" s="1"/>
      <c r="V772" s="1"/>
      <c r="W772" s="1"/>
    </row>
    <row r="773" spans="1:23" ht="23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1"/>
      <c r="R773" s="1"/>
      <c r="S773" s="1"/>
      <c r="T773" s="1"/>
      <c r="U773" s="1"/>
      <c r="V773" s="1"/>
      <c r="W773" s="1"/>
    </row>
    <row r="774" spans="1:23" ht="23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1"/>
      <c r="R774" s="1"/>
      <c r="S774" s="1"/>
      <c r="T774" s="1"/>
      <c r="U774" s="1"/>
      <c r="V774" s="1"/>
      <c r="W774" s="1"/>
    </row>
    <row r="775" spans="1:23" ht="23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1"/>
      <c r="R775" s="1"/>
      <c r="S775" s="1"/>
      <c r="T775" s="1"/>
      <c r="U775" s="1"/>
      <c r="V775" s="1"/>
      <c r="W775" s="1"/>
    </row>
    <row r="776" spans="1:23" ht="23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1"/>
      <c r="R776" s="1"/>
      <c r="S776" s="1"/>
      <c r="T776" s="1"/>
      <c r="U776" s="1"/>
      <c r="V776" s="1"/>
      <c r="W776" s="1"/>
    </row>
    <row r="777" spans="1:23" ht="23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1"/>
      <c r="R777" s="1"/>
      <c r="S777" s="1"/>
      <c r="T777" s="1"/>
      <c r="U777" s="1"/>
      <c r="V777" s="1"/>
      <c r="W777" s="1"/>
    </row>
    <row r="778" spans="1:23" ht="23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1"/>
      <c r="R778" s="1"/>
      <c r="S778" s="1"/>
      <c r="T778" s="1"/>
      <c r="U778" s="1"/>
      <c r="V778" s="1"/>
      <c r="W778" s="1"/>
    </row>
    <row r="779" spans="1:23" ht="23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1"/>
      <c r="R779" s="1"/>
      <c r="S779" s="1"/>
      <c r="T779" s="1"/>
      <c r="U779" s="1"/>
      <c r="V779" s="1"/>
      <c r="W779" s="1"/>
    </row>
    <row r="780" spans="1:23" ht="23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1"/>
      <c r="R780" s="1"/>
      <c r="S780" s="1"/>
      <c r="T780" s="1"/>
      <c r="U780" s="1"/>
      <c r="V780" s="1"/>
      <c r="W780" s="1"/>
    </row>
    <row r="781" spans="1:23" ht="23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1"/>
      <c r="R781" s="1"/>
      <c r="S781" s="1"/>
      <c r="T781" s="1"/>
      <c r="U781" s="1"/>
      <c r="V781" s="1"/>
      <c r="W781" s="1"/>
    </row>
    <row r="782" spans="1:23" ht="23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1"/>
      <c r="R782" s="1"/>
      <c r="S782" s="1"/>
      <c r="T782" s="1"/>
      <c r="U782" s="1"/>
      <c r="V782" s="1"/>
      <c r="W782" s="1"/>
    </row>
    <row r="783" spans="1:23" ht="23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1"/>
      <c r="R783" s="1"/>
      <c r="S783" s="1"/>
      <c r="T783" s="1"/>
      <c r="U783" s="1"/>
      <c r="V783" s="1"/>
      <c r="W783" s="1"/>
    </row>
    <row r="784" spans="1:23" ht="23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1"/>
      <c r="R784" s="1"/>
      <c r="S784" s="1"/>
      <c r="T784" s="1"/>
      <c r="U784" s="1"/>
      <c r="V784" s="1"/>
      <c r="W784" s="1"/>
    </row>
    <row r="785" spans="1:23" ht="23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1"/>
      <c r="R785" s="1"/>
      <c r="S785" s="1"/>
      <c r="T785" s="1"/>
      <c r="U785" s="1"/>
      <c r="V785" s="1"/>
      <c r="W785" s="1"/>
    </row>
    <row r="786" spans="1:23" ht="23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1"/>
      <c r="R786" s="1"/>
      <c r="S786" s="1"/>
      <c r="T786" s="1"/>
      <c r="U786" s="1"/>
      <c r="V786" s="1"/>
      <c r="W786" s="1"/>
    </row>
    <row r="787" spans="1:23" ht="23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1"/>
      <c r="R787" s="1"/>
      <c r="S787" s="1"/>
      <c r="T787" s="1"/>
      <c r="U787" s="1"/>
      <c r="V787" s="1"/>
      <c r="W787" s="1"/>
    </row>
    <row r="788" spans="1:23" ht="23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1"/>
      <c r="R788" s="1"/>
      <c r="S788" s="1"/>
      <c r="T788" s="1"/>
      <c r="U788" s="1"/>
      <c r="V788" s="1"/>
      <c r="W788" s="1"/>
    </row>
    <row r="789" spans="1:23" ht="23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1"/>
      <c r="R789" s="1"/>
      <c r="S789" s="1"/>
      <c r="T789" s="1"/>
      <c r="U789" s="1"/>
      <c r="V789" s="1"/>
      <c r="W789" s="1"/>
    </row>
    <row r="790" spans="1:23" ht="23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1"/>
      <c r="R790" s="1"/>
      <c r="S790" s="1"/>
      <c r="T790" s="1"/>
      <c r="U790" s="1"/>
      <c r="V790" s="1"/>
      <c r="W790" s="1"/>
    </row>
    <row r="791" spans="1:23" ht="23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1"/>
      <c r="R791" s="1"/>
      <c r="S791" s="1"/>
      <c r="T791" s="1"/>
      <c r="U791" s="1"/>
      <c r="V791" s="1"/>
      <c r="W791" s="1"/>
    </row>
    <row r="792" spans="1:23" ht="23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1"/>
      <c r="R792" s="1"/>
      <c r="S792" s="1"/>
      <c r="T792" s="1"/>
      <c r="U792" s="1"/>
      <c r="V792" s="1"/>
      <c r="W792" s="1"/>
    </row>
    <row r="793" spans="1:23" ht="23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1"/>
      <c r="R793" s="1"/>
      <c r="S793" s="1"/>
      <c r="T793" s="1"/>
      <c r="U793" s="1"/>
      <c r="V793" s="1"/>
      <c r="W793" s="1"/>
    </row>
    <row r="794" spans="1:23" ht="23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1"/>
      <c r="R794" s="1"/>
      <c r="S794" s="1"/>
      <c r="T794" s="1"/>
      <c r="U794" s="1"/>
      <c r="V794" s="1"/>
      <c r="W794" s="1"/>
    </row>
    <row r="795" spans="1:23" ht="23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1"/>
      <c r="R795" s="1"/>
      <c r="S795" s="1"/>
      <c r="T795" s="1"/>
      <c r="U795" s="1"/>
      <c r="V795" s="1"/>
      <c r="W795" s="1"/>
    </row>
    <row r="796" spans="1:23" ht="23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1"/>
      <c r="R796" s="1"/>
      <c r="S796" s="1"/>
      <c r="T796" s="1"/>
      <c r="U796" s="1"/>
      <c r="V796" s="1"/>
      <c r="W796" s="1"/>
    </row>
    <row r="797" spans="1:23" ht="23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1"/>
      <c r="R797" s="1"/>
      <c r="S797" s="1"/>
      <c r="T797" s="1"/>
      <c r="U797" s="1"/>
      <c r="V797" s="1"/>
      <c r="W797" s="1"/>
    </row>
    <row r="798" spans="1:23" ht="23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1"/>
      <c r="R798" s="1"/>
      <c r="S798" s="1"/>
      <c r="T798" s="1"/>
      <c r="U798" s="1"/>
      <c r="V798" s="1"/>
      <c r="W798" s="1"/>
    </row>
    <row r="799" spans="1:23" ht="23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1"/>
      <c r="R799" s="1"/>
      <c r="S799" s="1"/>
      <c r="T799" s="1"/>
      <c r="U799" s="1"/>
      <c r="V799" s="1"/>
      <c r="W799" s="1"/>
    </row>
    <row r="800" spans="1:23" ht="23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1"/>
      <c r="R800" s="1"/>
      <c r="S800" s="1"/>
      <c r="T800" s="1"/>
      <c r="U800" s="1"/>
      <c r="V800" s="1"/>
      <c r="W800" s="1"/>
    </row>
    <row r="801" spans="1:23" ht="23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1"/>
      <c r="R801" s="1"/>
      <c r="S801" s="1"/>
      <c r="T801" s="1"/>
      <c r="U801" s="1"/>
      <c r="V801" s="1"/>
      <c r="W801" s="1"/>
    </row>
    <row r="802" spans="1:23" ht="23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1"/>
      <c r="R802" s="1"/>
      <c r="S802" s="1"/>
      <c r="T802" s="1"/>
      <c r="U802" s="1"/>
      <c r="V802" s="1"/>
      <c r="W802" s="1"/>
    </row>
    <row r="803" spans="1:23" ht="23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1"/>
      <c r="R803" s="1"/>
      <c r="S803" s="1"/>
      <c r="T803" s="1"/>
      <c r="U803" s="1"/>
      <c r="V803" s="1"/>
      <c r="W803" s="1"/>
    </row>
    <row r="804" spans="1:23" ht="23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1"/>
      <c r="R804" s="1"/>
      <c r="S804" s="1"/>
      <c r="T804" s="1"/>
      <c r="U804" s="1"/>
      <c r="V804" s="1"/>
      <c r="W804" s="1"/>
    </row>
    <row r="805" spans="1:23" ht="23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1"/>
      <c r="R805" s="1"/>
      <c r="S805" s="1"/>
      <c r="T805" s="1"/>
      <c r="U805" s="1"/>
      <c r="V805" s="1"/>
      <c r="W805" s="1"/>
    </row>
    <row r="806" spans="1:23" ht="23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1"/>
      <c r="R806" s="1"/>
      <c r="S806" s="1"/>
      <c r="T806" s="1"/>
      <c r="U806" s="1"/>
      <c r="V806" s="1"/>
      <c r="W806" s="1"/>
    </row>
    <row r="807" spans="1:23" ht="23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1"/>
      <c r="R807" s="1"/>
      <c r="S807" s="1"/>
      <c r="T807" s="1"/>
      <c r="U807" s="1"/>
      <c r="V807" s="1"/>
      <c r="W807" s="1"/>
    </row>
    <row r="808" spans="1:23" ht="23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1"/>
      <c r="R808" s="1"/>
      <c r="S808" s="1"/>
      <c r="T808" s="1"/>
      <c r="U808" s="1"/>
      <c r="V808" s="1"/>
      <c r="W808" s="1"/>
    </row>
    <row r="809" spans="1:23" ht="23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1"/>
      <c r="R809" s="1"/>
      <c r="S809" s="1"/>
      <c r="T809" s="1"/>
      <c r="U809" s="1"/>
      <c r="V809" s="1"/>
      <c r="W809" s="1"/>
    </row>
    <row r="810" spans="1:23" ht="23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1"/>
      <c r="R810" s="1"/>
      <c r="S810" s="1"/>
      <c r="T810" s="1"/>
      <c r="U810" s="1"/>
      <c r="V810" s="1"/>
      <c r="W810" s="1"/>
    </row>
    <row r="811" spans="1:23" ht="23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1"/>
      <c r="R811" s="1"/>
      <c r="S811" s="1"/>
      <c r="T811" s="1"/>
      <c r="U811" s="1"/>
      <c r="V811" s="1"/>
      <c r="W811" s="1"/>
    </row>
    <row r="812" spans="1:23" ht="23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1"/>
      <c r="R812" s="1"/>
      <c r="S812" s="1"/>
      <c r="T812" s="1"/>
      <c r="U812" s="1"/>
      <c r="V812" s="1"/>
      <c r="W812" s="1"/>
    </row>
    <row r="813" spans="1:23" ht="23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1"/>
      <c r="R813" s="1"/>
      <c r="S813" s="1"/>
      <c r="T813" s="1"/>
      <c r="U813" s="1"/>
      <c r="V813" s="1"/>
      <c r="W813" s="1"/>
    </row>
    <row r="814" spans="1:23" ht="23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1"/>
      <c r="R814" s="1"/>
      <c r="S814" s="1"/>
      <c r="T814" s="1"/>
      <c r="U814" s="1"/>
      <c r="V814" s="1"/>
      <c r="W814" s="1"/>
    </row>
    <row r="815" spans="1:23" ht="23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1"/>
      <c r="R815" s="1"/>
      <c r="S815" s="1"/>
      <c r="T815" s="1"/>
      <c r="U815" s="1"/>
      <c r="V815" s="1"/>
      <c r="W815" s="1"/>
    </row>
    <row r="816" spans="1:23" ht="23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1"/>
      <c r="R816" s="1"/>
      <c r="S816" s="1"/>
      <c r="T816" s="1"/>
      <c r="U816" s="1"/>
      <c r="V816" s="1"/>
      <c r="W816" s="1"/>
    </row>
    <row r="817" spans="1:23" ht="23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1"/>
      <c r="R817" s="1"/>
      <c r="S817" s="1"/>
      <c r="T817" s="1"/>
      <c r="U817" s="1"/>
      <c r="V817" s="1"/>
      <c r="W817" s="1"/>
    </row>
    <row r="818" spans="1:23" ht="23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1"/>
      <c r="R818" s="1"/>
      <c r="S818" s="1"/>
      <c r="T818" s="1"/>
      <c r="U818" s="1"/>
      <c r="V818" s="1"/>
      <c r="W818" s="1"/>
    </row>
    <row r="819" spans="1:23" ht="23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1"/>
      <c r="R819" s="1"/>
      <c r="S819" s="1"/>
      <c r="T819" s="1"/>
      <c r="U819" s="1"/>
      <c r="V819" s="1"/>
      <c r="W819" s="1"/>
    </row>
    <row r="820" spans="1:23" ht="23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1"/>
      <c r="R820" s="1"/>
      <c r="S820" s="1"/>
      <c r="T820" s="1"/>
      <c r="U820" s="1"/>
      <c r="V820" s="1"/>
      <c r="W820" s="1"/>
    </row>
    <row r="821" spans="1:23" ht="23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1"/>
      <c r="R821" s="1"/>
      <c r="S821" s="1"/>
      <c r="T821" s="1"/>
      <c r="U821" s="1"/>
      <c r="V821" s="1"/>
      <c r="W821" s="1"/>
    </row>
    <row r="822" spans="1:23" ht="23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1"/>
      <c r="R822" s="1"/>
      <c r="S822" s="1"/>
      <c r="T822" s="1"/>
      <c r="U822" s="1"/>
      <c r="V822" s="1"/>
      <c r="W822" s="1"/>
    </row>
    <row r="823" spans="1:23" ht="23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1"/>
      <c r="R823" s="1"/>
      <c r="S823" s="1"/>
      <c r="T823" s="1"/>
      <c r="U823" s="1"/>
      <c r="V823" s="1"/>
      <c r="W823" s="1"/>
    </row>
    <row r="824" spans="1:23" ht="23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1"/>
      <c r="R824" s="1"/>
      <c r="S824" s="1"/>
      <c r="T824" s="1"/>
      <c r="U824" s="1"/>
      <c r="V824" s="1"/>
      <c r="W824" s="1"/>
    </row>
    <row r="825" spans="1:23" ht="23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1"/>
      <c r="R825" s="1"/>
      <c r="S825" s="1"/>
      <c r="T825" s="1"/>
      <c r="U825" s="1"/>
      <c r="V825" s="1"/>
      <c r="W825" s="1"/>
    </row>
    <row r="826" spans="1:23" ht="23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1"/>
      <c r="R826" s="1"/>
      <c r="S826" s="1"/>
      <c r="T826" s="1"/>
      <c r="U826" s="1"/>
      <c r="V826" s="1"/>
      <c r="W826" s="1"/>
    </row>
    <row r="827" spans="1:23" ht="23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1"/>
      <c r="R827" s="1"/>
      <c r="S827" s="1"/>
      <c r="T827" s="1"/>
      <c r="U827" s="1"/>
      <c r="V827" s="1"/>
      <c r="W827" s="1"/>
    </row>
    <row r="828" spans="1:23" ht="23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1"/>
      <c r="R828" s="1"/>
      <c r="S828" s="1"/>
      <c r="T828" s="1"/>
      <c r="U828" s="1"/>
      <c r="V828" s="1"/>
      <c r="W828" s="1"/>
    </row>
    <row r="829" spans="1:23" ht="23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1"/>
      <c r="R829" s="1"/>
      <c r="S829" s="1"/>
      <c r="T829" s="1"/>
      <c r="U829" s="1"/>
      <c r="V829" s="1"/>
      <c r="W829" s="1"/>
    </row>
    <row r="830" spans="1:23" ht="23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1"/>
      <c r="R830" s="1"/>
      <c r="S830" s="1"/>
      <c r="T830" s="1"/>
      <c r="U830" s="1"/>
      <c r="V830" s="1"/>
      <c r="W830" s="1"/>
    </row>
    <row r="831" spans="1:23" ht="23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1"/>
      <c r="R831" s="1"/>
      <c r="S831" s="1"/>
      <c r="T831" s="1"/>
      <c r="U831" s="1"/>
      <c r="V831" s="1"/>
      <c r="W831" s="1"/>
    </row>
    <row r="832" spans="1:23" ht="23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1"/>
      <c r="R832" s="1"/>
      <c r="S832" s="1"/>
      <c r="T832" s="1"/>
      <c r="U832" s="1"/>
      <c r="V832" s="1"/>
      <c r="W832" s="1"/>
    </row>
    <row r="833" spans="1:23" ht="23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1"/>
      <c r="R833" s="1"/>
      <c r="S833" s="1"/>
      <c r="T833" s="1"/>
      <c r="U833" s="1"/>
      <c r="V833" s="1"/>
      <c r="W833" s="1"/>
    </row>
    <row r="834" spans="1:23" ht="23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1"/>
      <c r="R834" s="1"/>
      <c r="S834" s="1"/>
      <c r="T834" s="1"/>
      <c r="U834" s="1"/>
      <c r="V834" s="1"/>
      <c r="W834" s="1"/>
    </row>
    <row r="835" spans="1:23" ht="23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1"/>
      <c r="R835" s="1"/>
      <c r="S835" s="1"/>
      <c r="T835" s="1"/>
      <c r="U835" s="1"/>
      <c r="V835" s="1"/>
      <c r="W835" s="1"/>
    </row>
    <row r="836" spans="1:23" ht="23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1"/>
      <c r="R836" s="1"/>
      <c r="S836" s="1"/>
      <c r="T836" s="1"/>
      <c r="U836" s="1"/>
      <c r="V836" s="1"/>
      <c r="W836" s="1"/>
    </row>
    <row r="837" spans="1:23" ht="23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1"/>
      <c r="R837" s="1"/>
      <c r="S837" s="1"/>
      <c r="T837" s="1"/>
      <c r="U837" s="1"/>
      <c r="V837" s="1"/>
      <c r="W837" s="1"/>
    </row>
    <row r="838" spans="1:23" ht="23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1"/>
      <c r="R838" s="1"/>
      <c r="S838" s="1"/>
      <c r="T838" s="1"/>
      <c r="U838" s="1"/>
      <c r="V838" s="1"/>
      <c r="W838" s="1"/>
    </row>
    <row r="839" spans="1:23" ht="23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1"/>
      <c r="R839" s="1"/>
      <c r="S839" s="1"/>
      <c r="T839" s="1"/>
      <c r="U839" s="1"/>
      <c r="V839" s="1"/>
      <c r="W839" s="1"/>
    </row>
    <row r="840" spans="1:23" ht="23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1"/>
      <c r="R840" s="1"/>
      <c r="S840" s="1"/>
      <c r="T840" s="1"/>
      <c r="U840" s="1"/>
      <c r="V840" s="1"/>
      <c r="W840" s="1"/>
    </row>
    <row r="841" spans="1:23" ht="23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1"/>
      <c r="R841" s="1"/>
      <c r="S841" s="1"/>
      <c r="T841" s="1"/>
      <c r="U841" s="1"/>
      <c r="V841" s="1"/>
      <c r="W841" s="1"/>
    </row>
    <row r="842" spans="1:23" ht="23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1"/>
      <c r="R842" s="1"/>
      <c r="S842" s="1"/>
      <c r="T842" s="1"/>
      <c r="U842" s="1"/>
      <c r="V842" s="1"/>
      <c r="W842" s="1"/>
    </row>
    <row r="843" spans="1:23" ht="23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1"/>
      <c r="R843" s="1"/>
      <c r="S843" s="1"/>
      <c r="T843" s="1"/>
      <c r="U843" s="1"/>
      <c r="V843" s="1"/>
      <c r="W843" s="1"/>
    </row>
    <row r="844" spans="1:23" ht="23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1"/>
      <c r="R844" s="1"/>
      <c r="S844" s="1"/>
      <c r="T844" s="1"/>
      <c r="U844" s="1"/>
      <c r="V844" s="1"/>
      <c r="W844" s="1"/>
    </row>
    <row r="845" spans="1:23" ht="23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1"/>
      <c r="R845" s="1"/>
      <c r="S845" s="1"/>
      <c r="T845" s="1"/>
      <c r="U845" s="1"/>
      <c r="V845" s="1"/>
      <c r="W845" s="1"/>
    </row>
    <row r="846" spans="1:23" ht="23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1"/>
      <c r="R846" s="1"/>
      <c r="S846" s="1"/>
      <c r="T846" s="1"/>
      <c r="U846" s="1"/>
      <c r="V846" s="1"/>
      <c r="W846" s="1"/>
    </row>
    <row r="847" spans="1:23" ht="23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1"/>
      <c r="R847" s="1"/>
      <c r="S847" s="1"/>
      <c r="T847" s="1"/>
      <c r="U847" s="1"/>
      <c r="V847" s="1"/>
      <c r="W847" s="1"/>
    </row>
    <row r="848" spans="1:23" ht="23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1"/>
      <c r="R848" s="1"/>
      <c r="S848" s="1"/>
      <c r="T848" s="1"/>
      <c r="U848" s="1"/>
      <c r="V848" s="1"/>
      <c r="W848" s="1"/>
    </row>
    <row r="849" spans="1:23" ht="23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1"/>
      <c r="R849" s="1"/>
      <c r="S849" s="1"/>
      <c r="T849" s="1"/>
      <c r="U849" s="1"/>
      <c r="V849" s="1"/>
      <c r="W849" s="1"/>
    </row>
    <row r="850" spans="1:23" ht="23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1"/>
      <c r="R850" s="1"/>
      <c r="S850" s="1"/>
      <c r="T850" s="1"/>
      <c r="U850" s="1"/>
      <c r="V850" s="1"/>
      <c r="W850" s="1"/>
    </row>
    <row r="851" spans="1:23" ht="23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1"/>
      <c r="R851" s="1"/>
      <c r="S851" s="1"/>
      <c r="T851" s="1"/>
      <c r="U851" s="1"/>
      <c r="V851" s="1"/>
      <c r="W851" s="1"/>
    </row>
    <row r="852" spans="1:23" ht="23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1"/>
      <c r="R852" s="1"/>
      <c r="S852" s="1"/>
      <c r="T852" s="1"/>
      <c r="U852" s="1"/>
      <c r="V852" s="1"/>
      <c r="W852" s="1"/>
    </row>
    <row r="853" spans="1:23" ht="23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1"/>
      <c r="R853" s="1"/>
      <c r="S853" s="1"/>
      <c r="T853" s="1"/>
      <c r="U853" s="1"/>
      <c r="V853" s="1"/>
      <c r="W853" s="1"/>
    </row>
    <row r="854" spans="1:23" ht="23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1"/>
      <c r="R854" s="1"/>
      <c r="S854" s="1"/>
      <c r="T854" s="1"/>
      <c r="U854" s="1"/>
      <c r="V854" s="1"/>
      <c r="W854" s="1"/>
    </row>
    <row r="855" spans="1:23" ht="23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1"/>
      <c r="R855" s="1"/>
      <c r="S855" s="1"/>
      <c r="T855" s="1"/>
      <c r="U855" s="1"/>
      <c r="V855" s="1"/>
      <c r="W855" s="1"/>
    </row>
    <row r="856" spans="1:23" ht="23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1"/>
      <c r="R856" s="1"/>
      <c r="S856" s="1"/>
      <c r="T856" s="1"/>
      <c r="U856" s="1"/>
      <c r="V856" s="1"/>
      <c r="W856" s="1"/>
    </row>
    <row r="857" spans="1:23" ht="23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1"/>
      <c r="R857" s="1"/>
      <c r="S857" s="1"/>
      <c r="T857" s="1"/>
      <c r="U857" s="1"/>
      <c r="V857" s="1"/>
      <c r="W857" s="1"/>
    </row>
    <row r="858" spans="1:23" ht="23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1"/>
      <c r="R858" s="1"/>
      <c r="S858" s="1"/>
      <c r="T858" s="1"/>
      <c r="U858" s="1"/>
      <c r="V858" s="1"/>
      <c r="W858" s="1"/>
    </row>
    <row r="859" spans="1:23" ht="23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1"/>
      <c r="R859" s="1"/>
      <c r="S859" s="1"/>
      <c r="T859" s="1"/>
      <c r="U859" s="1"/>
      <c r="V859" s="1"/>
      <c r="W859" s="1"/>
    </row>
    <row r="860" spans="1:23" ht="23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1"/>
      <c r="R860" s="1"/>
      <c r="S860" s="1"/>
      <c r="T860" s="1"/>
      <c r="U860" s="1"/>
      <c r="V860" s="1"/>
      <c r="W860" s="1"/>
    </row>
    <row r="861" spans="1:23" ht="23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1"/>
      <c r="R861" s="1"/>
      <c r="S861" s="1"/>
      <c r="T861" s="1"/>
      <c r="U861" s="1"/>
      <c r="V861" s="1"/>
      <c r="W861" s="1"/>
    </row>
    <row r="862" spans="1:23" ht="23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1"/>
      <c r="R862" s="1"/>
      <c r="S862" s="1"/>
      <c r="T862" s="1"/>
      <c r="U862" s="1"/>
      <c r="V862" s="1"/>
      <c r="W862" s="1"/>
    </row>
    <row r="863" spans="1:23" ht="23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1"/>
      <c r="R863" s="1"/>
      <c r="S863" s="1"/>
      <c r="T863" s="1"/>
      <c r="U863" s="1"/>
      <c r="V863" s="1"/>
      <c r="W863" s="1"/>
    </row>
    <row r="864" spans="1:23" ht="23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1"/>
      <c r="R864" s="1"/>
      <c r="S864" s="1"/>
      <c r="T864" s="1"/>
      <c r="U864" s="1"/>
      <c r="V864" s="1"/>
      <c r="W864" s="1"/>
    </row>
    <row r="865" spans="1:23" ht="23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1"/>
      <c r="R865" s="1"/>
      <c r="S865" s="1"/>
      <c r="T865" s="1"/>
      <c r="U865" s="1"/>
      <c r="V865" s="1"/>
      <c r="W865" s="1"/>
    </row>
    <row r="866" spans="1:23" ht="23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1"/>
      <c r="R866" s="1"/>
      <c r="S866" s="1"/>
      <c r="T866" s="1"/>
      <c r="U866" s="1"/>
      <c r="V866" s="1"/>
      <c r="W866" s="1"/>
    </row>
    <row r="867" spans="1:23" ht="23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1"/>
      <c r="R867" s="1"/>
      <c r="S867" s="1"/>
      <c r="T867" s="1"/>
      <c r="U867" s="1"/>
      <c r="V867" s="1"/>
      <c r="W867" s="1"/>
    </row>
    <row r="868" spans="1:23" ht="23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1"/>
      <c r="R868" s="1"/>
      <c r="S868" s="1"/>
      <c r="T868" s="1"/>
      <c r="U868" s="1"/>
      <c r="V868" s="1"/>
      <c r="W868" s="1"/>
    </row>
    <row r="869" spans="1:23" ht="23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1"/>
      <c r="R869" s="1"/>
      <c r="S869" s="1"/>
      <c r="T869" s="1"/>
      <c r="U869" s="1"/>
      <c r="V869" s="1"/>
      <c r="W869" s="1"/>
    </row>
    <row r="870" spans="1:23" ht="23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1"/>
      <c r="R870" s="1"/>
      <c r="S870" s="1"/>
      <c r="T870" s="1"/>
      <c r="U870" s="1"/>
      <c r="V870" s="1"/>
      <c r="W870" s="1"/>
    </row>
    <row r="871" spans="1:23" ht="23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1"/>
      <c r="R871" s="1"/>
      <c r="S871" s="1"/>
      <c r="T871" s="1"/>
      <c r="U871" s="1"/>
      <c r="V871" s="1"/>
      <c r="W871" s="1"/>
    </row>
    <row r="872" spans="1:23" ht="23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1"/>
      <c r="R872" s="1"/>
      <c r="S872" s="1"/>
      <c r="T872" s="1"/>
      <c r="U872" s="1"/>
      <c r="V872" s="1"/>
      <c r="W872" s="1"/>
    </row>
    <row r="873" spans="1:23" ht="23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1"/>
      <c r="R873" s="1"/>
      <c r="S873" s="1"/>
      <c r="T873" s="1"/>
      <c r="U873" s="1"/>
      <c r="V873" s="1"/>
      <c r="W873" s="1"/>
    </row>
    <row r="874" spans="1:23" ht="23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1"/>
      <c r="R874" s="1"/>
      <c r="S874" s="1"/>
      <c r="T874" s="1"/>
      <c r="U874" s="1"/>
      <c r="V874" s="1"/>
      <c r="W874" s="1"/>
    </row>
    <row r="875" spans="1:23" ht="23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1"/>
      <c r="R875" s="1"/>
      <c r="S875" s="1"/>
      <c r="T875" s="1"/>
      <c r="U875" s="1"/>
      <c r="V875" s="1"/>
      <c r="W875" s="1"/>
    </row>
    <row r="876" spans="1:23" ht="23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1"/>
      <c r="R876" s="1"/>
      <c r="S876" s="1"/>
      <c r="T876" s="1"/>
      <c r="U876" s="1"/>
      <c r="V876" s="1"/>
      <c r="W876" s="1"/>
    </row>
    <row r="877" spans="1:23" ht="23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1"/>
      <c r="R877" s="1"/>
      <c r="S877" s="1"/>
      <c r="T877" s="1"/>
      <c r="U877" s="1"/>
      <c r="V877" s="1"/>
      <c r="W877" s="1"/>
    </row>
    <row r="878" spans="1:23" ht="23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1"/>
      <c r="R878" s="1"/>
      <c r="S878" s="1"/>
      <c r="T878" s="1"/>
      <c r="U878" s="1"/>
      <c r="V878" s="1"/>
      <c r="W878" s="1"/>
    </row>
    <row r="879" spans="1:23" ht="23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1"/>
      <c r="R879" s="1"/>
      <c r="S879" s="1"/>
      <c r="T879" s="1"/>
      <c r="U879" s="1"/>
      <c r="V879" s="1"/>
      <c r="W879" s="1"/>
    </row>
    <row r="880" spans="1:23" ht="23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1"/>
      <c r="R880" s="1"/>
      <c r="S880" s="1"/>
      <c r="T880" s="1"/>
      <c r="U880" s="1"/>
      <c r="V880" s="1"/>
      <c r="W880" s="1"/>
    </row>
    <row r="881" spans="1:23" ht="23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1"/>
      <c r="R881" s="1"/>
      <c r="S881" s="1"/>
      <c r="T881" s="1"/>
      <c r="U881" s="1"/>
      <c r="V881" s="1"/>
      <c r="W881" s="1"/>
    </row>
    <row r="882" spans="1:23" ht="23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1"/>
      <c r="R882" s="1"/>
      <c r="S882" s="1"/>
      <c r="T882" s="1"/>
      <c r="U882" s="1"/>
      <c r="V882" s="1"/>
      <c r="W882" s="1"/>
    </row>
    <row r="883" spans="1:23" ht="23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1"/>
      <c r="R883" s="1"/>
      <c r="S883" s="1"/>
      <c r="T883" s="1"/>
      <c r="U883" s="1"/>
      <c r="V883" s="1"/>
      <c r="W883" s="1"/>
    </row>
    <row r="884" spans="1:23" ht="23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1"/>
      <c r="R884" s="1"/>
      <c r="S884" s="1"/>
      <c r="T884" s="1"/>
      <c r="U884" s="1"/>
      <c r="V884" s="1"/>
      <c r="W884" s="1"/>
    </row>
    <row r="885" spans="1:23" ht="23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1"/>
      <c r="R885" s="1"/>
      <c r="S885" s="1"/>
      <c r="T885" s="1"/>
      <c r="U885" s="1"/>
      <c r="V885" s="1"/>
      <c r="W885" s="1"/>
    </row>
    <row r="886" spans="1:23" ht="23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1"/>
      <c r="R886" s="1"/>
      <c r="S886" s="1"/>
      <c r="T886" s="1"/>
      <c r="U886" s="1"/>
      <c r="V886" s="1"/>
      <c r="W886" s="1"/>
    </row>
    <row r="887" spans="1:23" ht="23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1"/>
      <c r="R887" s="1"/>
      <c r="S887" s="1"/>
      <c r="T887" s="1"/>
      <c r="U887" s="1"/>
      <c r="V887" s="1"/>
      <c r="W887" s="1"/>
    </row>
    <row r="888" spans="1:23" ht="23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1"/>
      <c r="R888" s="1"/>
      <c r="S888" s="1"/>
      <c r="T888" s="1"/>
      <c r="U888" s="1"/>
      <c r="V888" s="1"/>
      <c r="W888" s="1"/>
    </row>
    <row r="889" spans="1:23" ht="23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1"/>
      <c r="R889" s="1"/>
      <c r="S889" s="1"/>
      <c r="T889" s="1"/>
      <c r="U889" s="1"/>
      <c r="V889" s="1"/>
      <c r="W889" s="1"/>
    </row>
    <row r="890" spans="1:23" ht="23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1"/>
      <c r="R890" s="1"/>
      <c r="S890" s="1"/>
      <c r="T890" s="1"/>
      <c r="U890" s="1"/>
      <c r="V890" s="1"/>
      <c r="W890" s="1"/>
    </row>
    <row r="891" spans="1:23" ht="23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1"/>
      <c r="R891" s="1"/>
      <c r="S891" s="1"/>
      <c r="T891" s="1"/>
      <c r="U891" s="1"/>
      <c r="V891" s="1"/>
      <c r="W891" s="1"/>
    </row>
    <row r="892" spans="1:23" ht="23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1"/>
      <c r="R892" s="1"/>
      <c r="S892" s="1"/>
      <c r="T892" s="1"/>
      <c r="U892" s="1"/>
      <c r="V892" s="1"/>
      <c r="W892" s="1"/>
    </row>
    <row r="893" spans="1:23" ht="23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1"/>
      <c r="R893" s="1"/>
      <c r="S893" s="1"/>
      <c r="T893" s="1"/>
      <c r="U893" s="1"/>
      <c r="V893" s="1"/>
      <c r="W893" s="1"/>
    </row>
    <row r="894" spans="1:23" ht="23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1"/>
      <c r="R894" s="1"/>
      <c r="S894" s="1"/>
      <c r="T894" s="1"/>
      <c r="U894" s="1"/>
      <c r="V894" s="1"/>
      <c r="W894" s="1"/>
    </row>
    <row r="895" spans="1:23" ht="23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1"/>
      <c r="R895" s="1"/>
      <c r="S895" s="1"/>
      <c r="T895" s="1"/>
      <c r="U895" s="1"/>
      <c r="V895" s="1"/>
      <c r="W895" s="1"/>
    </row>
    <row r="896" spans="1:23" ht="23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1"/>
      <c r="R896" s="1"/>
      <c r="S896" s="1"/>
      <c r="T896" s="1"/>
      <c r="U896" s="1"/>
      <c r="V896" s="1"/>
      <c r="W896" s="1"/>
    </row>
    <row r="897" spans="1:23" ht="23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1"/>
      <c r="R897" s="1"/>
      <c r="S897" s="1"/>
      <c r="T897" s="1"/>
      <c r="U897" s="1"/>
      <c r="V897" s="1"/>
      <c r="W897" s="1"/>
    </row>
    <row r="898" spans="1:23" ht="23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1"/>
      <c r="R898" s="1"/>
      <c r="S898" s="1"/>
      <c r="T898" s="1"/>
      <c r="U898" s="1"/>
      <c r="V898" s="1"/>
      <c r="W898" s="1"/>
    </row>
    <row r="899" spans="1:23" ht="23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1"/>
      <c r="R899" s="1"/>
      <c r="S899" s="1"/>
      <c r="T899" s="1"/>
      <c r="U899" s="1"/>
      <c r="V899" s="1"/>
      <c r="W899" s="1"/>
    </row>
    <row r="900" spans="1:23" ht="23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1"/>
      <c r="R900" s="1"/>
      <c r="S900" s="1"/>
      <c r="T900" s="1"/>
      <c r="U900" s="1"/>
      <c r="V900" s="1"/>
      <c r="W900" s="1"/>
    </row>
    <row r="901" spans="1:23" ht="23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1"/>
      <c r="R901" s="1"/>
      <c r="S901" s="1"/>
      <c r="T901" s="1"/>
      <c r="U901" s="1"/>
      <c r="V901" s="1"/>
      <c r="W901" s="1"/>
    </row>
    <row r="902" spans="1:23" ht="23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1"/>
      <c r="R902" s="1"/>
      <c r="S902" s="1"/>
      <c r="T902" s="1"/>
      <c r="U902" s="1"/>
      <c r="V902" s="1"/>
      <c r="W902" s="1"/>
    </row>
    <row r="903" spans="1:23" ht="23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1"/>
      <c r="R903" s="1"/>
      <c r="S903" s="1"/>
      <c r="T903" s="1"/>
      <c r="U903" s="1"/>
      <c r="V903" s="1"/>
      <c r="W903" s="1"/>
    </row>
    <row r="904" spans="1:23" ht="23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1"/>
      <c r="R904" s="1"/>
      <c r="S904" s="1"/>
      <c r="T904" s="1"/>
      <c r="U904" s="1"/>
      <c r="V904" s="1"/>
      <c r="W904" s="1"/>
    </row>
    <row r="905" spans="1:23" ht="23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1"/>
      <c r="R905" s="1"/>
      <c r="S905" s="1"/>
      <c r="T905" s="1"/>
      <c r="U905" s="1"/>
      <c r="V905" s="1"/>
      <c r="W905" s="1"/>
    </row>
    <row r="906" spans="1:23" ht="23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1"/>
      <c r="R906" s="1"/>
      <c r="S906" s="1"/>
      <c r="T906" s="1"/>
      <c r="U906" s="1"/>
      <c r="V906" s="1"/>
      <c r="W906" s="1"/>
    </row>
    <row r="907" spans="1:23" ht="23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1"/>
      <c r="R907" s="1"/>
      <c r="S907" s="1"/>
      <c r="T907" s="1"/>
      <c r="U907" s="1"/>
      <c r="V907" s="1"/>
      <c r="W907" s="1"/>
    </row>
    <row r="908" spans="1:23" ht="23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1"/>
      <c r="R908" s="1"/>
      <c r="S908" s="1"/>
      <c r="T908" s="1"/>
      <c r="U908" s="1"/>
      <c r="V908" s="1"/>
      <c r="W908" s="1"/>
    </row>
    <row r="909" spans="1:23" ht="23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1"/>
      <c r="R909" s="1"/>
      <c r="S909" s="1"/>
      <c r="T909" s="1"/>
      <c r="U909" s="1"/>
      <c r="V909" s="1"/>
      <c r="W909" s="1"/>
    </row>
    <row r="910" spans="1:23" ht="23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1"/>
      <c r="R910" s="1"/>
      <c r="S910" s="1"/>
      <c r="T910" s="1"/>
      <c r="U910" s="1"/>
      <c r="V910" s="1"/>
      <c r="W910" s="1"/>
    </row>
    <row r="911" spans="1:23" ht="23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1"/>
      <c r="R911" s="1"/>
      <c r="S911" s="1"/>
      <c r="T911" s="1"/>
      <c r="U911" s="1"/>
      <c r="V911" s="1"/>
      <c r="W911" s="1"/>
    </row>
    <row r="912" spans="1:23" ht="23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1"/>
      <c r="R912" s="1"/>
      <c r="S912" s="1"/>
      <c r="T912" s="1"/>
      <c r="U912" s="1"/>
      <c r="V912" s="1"/>
      <c r="W912" s="1"/>
    </row>
    <row r="913" spans="1:23" ht="23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1"/>
      <c r="R913" s="1"/>
      <c r="S913" s="1"/>
      <c r="T913" s="1"/>
      <c r="U913" s="1"/>
      <c r="V913" s="1"/>
      <c r="W913" s="1"/>
    </row>
    <row r="914" spans="1:23" ht="23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1"/>
      <c r="R914" s="1"/>
      <c r="S914" s="1"/>
      <c r="T914" s="1"/>
      <c r="U914" s="1"/>
      <c r="V914" s="1"/>
      <c r="W914" s="1"/>
    </row>
    <row r="915" spans="1:23" ht="23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1"/>
      <c r="R915" s="1"/>
      <c r="S915" s="1"/>
      <c r="T915" s="1"/>
      <c r="U915" s="1"/>
      <c r="V915" s="1"/>
      <c r="W915" s="1"/>
    </row>
    <row r="916" spans="1:23" ht="23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1"/>
      <c r="R916" s="1"/>
      <c r="S916" s="1"/>
      <c r="T916" s="1"/>
      <c r="U916" s="1"/>
      <c r="V916" s="1"/>
      <c r="W916" s="1"/>
    </row>
    <row r="917" spans="1:23" ht="23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1"/>
      <c r="R917" s="1"/>
      <c r="S917" s="1"/>
      <c r="T917" s="1"/>
      <c r="U917" s="1"/>
      <c r="V917" s="1"/>
      <c r="W917" s="1"/>
    </row>
    <row r="918" spans="1:23" ht="23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1"/>
      <c r="R918" s="1"/>
      <c r="S918" s="1"/>
      <c r="T918" s="1"/>
      <c r="U918" s="1"/>
      <c r="V918" s="1"/>
      <c r="W918" s="1"/>
    </row>
    <row r="919" spans="1:23" ht="23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1"/>
      <c r="R919" s="1"/>
      <c r="S919" s="1"/>
      <c r="T919" s="1"/>
      <c r="U919" s="1"/>
      <c r="V919" s="1"/>
      <c r="W919" s="1"/>
    </row>
    <row r="920" spans="1:23" ht="23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1"/>
      <c r="R920" s="1"/>
      <c r="S920" s="1"/>
      <c r="T920" s="1"/>
      <c r="U920" s="1"/>
      <c r="V920" s="1"/>
      <c r="W920" s="1"/>
    </row>
    <row r="921" spans="1:23" ht="23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1"/>
      <c r="R921" s="1"/>
      <c r="S921" s="1"/>
      <c r="T921" s="1"/>
      <c r="U921" s="1"/>
      <c r="V921" s="1"/>
      <c r="W921" s="1"/>
    </row>
    <row r="922" spans="1:23" ht="23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1"/>
      <c r="R922" s="1"/>
      <c r="S922" s="1"/>
      <c r="T922" s="1"/>
      <c r="U922" s="1"/>
      <c r="V922" s="1"/>
      <c r="W922" s="1"/>
    </row>
    <row r="923" spans="1:23" ht="23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1"/>
      <c r="R923" s="1"/>
      <c r="S923" s="1"/>
      <c r="T923" s="1"/>
      <c r="U923" s="1"/>
      <c r="V923" s="1"/>
      <c r="W923" s="1"/>
    </row>
    <row r="924" spans="1:23" ht="23.2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1"/>
      <c r="R924" s="1"/>
      <c r="S924" s="1"/>
      <c r="T924" s="1"/>
      <c r="U924" s="1"/>
      <c r="V924" s="1"/>
      <c r="W924" s="1"/>
    </row>
    <row r="925" spans="1:23" ht="23.2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1"/>
      <c r="R925" s="1"/>
      <c r="S925" s="1"/>
      <c r="T925" s="1"/>
      <c r="U925" s="1"/>
      <c r="V925" s="1"/>
      <c r="W925" s="1"/>
    </row>
    <row r="926" spans="1:23" ht="23.2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1"/>
      <c r="R926" s="1"/>
      <c r="S926" s="1"/>
      <c r="T926" s="1"/>
      <c r="U926" s="1"/>
      <c r="V926" s="1"/>
      <c r="W926" s="1"/>
    </row>
    <row r="927" spans="1:23" ht="23.2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1"/>
      <c r="R927" s="1"/>
      <c r="S927" s="1"/>
      <c r="T927" s="1"/>
      <c r="U927" s="1"/>
      <c r="V927" s="1"/>
      <c r="W927" s="1"/>
    </row>
    <row r="928" spans="1:23" ht="23.2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1"/>
      <c r="R928" s="1"/>
      <c r="S928" s="1"/>
      <c r="T928" s="1"/>
      <c r="U928" s="1"/>
      <c r="V928" s="1"/>
      <c r="W928" s="1"/>
    </row>
    <row r="929" spans="1:23" ht="23.2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1"/>
      <c r="R929" s="1"/>
      <c r="S929" s="1"/>
      <c r="T929" s="1"/>
      <c r="U929" s="1"/>
      <c r="V929" s="1"/>
      <c r="W929" s="1"/>
    </row>
    <row r="930" spans="1:23" ht="23.2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1"/>
      <c r="R930" s="1"/>
      <c r="S930" s="1"/>
      <c r="T930" s="1"/>
      <c r="U930" s="1"/>
      <c r="V930" s="1"/>
      <c r="W930" s="1"/>
    </row>
    <row r="931" spans="1:23" ht="23.2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1"/>
      <c r="R931" s="1"/>
      <c r="S931" s="1"/>
      <c r="T931" s="1"/>
      <c r="U931" s="1"/>
      <c r="V931" s="1"/>
      <c r="W931" s="1"/>
    </row>
    <row r="932" spans="1:23" ht="23.2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1"/>
      <c r="R932" s="1"/>
      <c r="S932" s="1"/>
      <c r="T932" s="1"/>
      <c r="U932" s="1"/>
      <c r="V932" s="1"/>
      <c r="W932" s="1"/>
    </row>
    <row r="933" spans="1:23" ht="23.2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1"/>
      <c r="R933" s="1"/>
      <c r="S933" s="1"/>
      <c r="T933" s="1"/>
      <c r="U933" s="1"/>
      <c r="V933" s="1"/>
      <c r="W933" s="1"/>
    </row>
    <row r="934" spans="1:23" ht="23.2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1"/>
      <c r="R934" s="1"/>
      <c r="S934" s="1"/>
      <c r="T934" s="1"/>
      <c r="U934" s="1"/>
      <c r="V934" s="1"/>
      <c r="W934" s="1"/>
    </row>
    <row r="935" spans="1:23" ht="23.2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1"/>
      <c r="R935" s="1"/>
      <c r="S935" s="1"/>
      <c r="T935" s="1"/>
      <c r="U935" s="1"/>
      <c r="V935" s="1"/>
      <c r="W935" s="1"/>
    </row>
    <row r="936" spans="1:23" ht="23.2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1"/>
      <c r="R936" s="1"/>
      <c r="S936" s="1"/>
      <c r="T936" s="1"/>
      <c r="U936" s="1"/>
      <c r="V936" s="1"/>
      <c r="W936" s="1"/>
    </row>
    <row r="937" spans="1:23" ht="23.2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1"/>
      <c r="R937" s="1"/>
      <c r="S937" s="1"/>
      <c r="T937" s="1"/>
      <c r="U937" s="1"/>
      <c r="V937" s="1"/>
      <c r="W937" s="1"/>
    </row>
    <row r="938" spans="1:23" ht="23.2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1"/>
      <c r="R938" s="1"/>
      <c r="S938" s="1"/>
      <c r="T938" s="1"/>
      <c r="U938" s="1"/>
      <c r="V938" s="1"/>
      <c r="W938" s="1"/>
    </row>
    <row r="939" spans="1:23" ht="23.2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1"/>
      <c r="R939" s="1"/>
      <c r="S939" s="1"/>
      <c r="T939" s="1"/>
      <c r="U939" s="1"/>
      <c r="V939" s="1"/>
      <c r="W939" s="1"/>
    </row>
    <row r="940" spans="1:23" ht="23.2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1"/>
      <c r="R940" s="1"/>
      <c r="S940" s="1"/>
      <c r="T940" s="1"/>
      <c r="U940" s="1"/>
      <c r="V940" s="1"/>
      <c r="W940" s="1"/>
    </row>
    <row r="941" spans="1:23" ht="23.2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1"/>
      <c r="R941" s="1"/>
      <c r="S941" s="1"/>
      <c r="T941" s="1"/>
      <c r="U941" s="1"/>
      <c r="V941" s="1"/>
      <c r="W941" s="1"/>
    </row>
    <row r="942" spans="1:23" ht="23.2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1"/>
      <c r="R942" s="1"/>
      <c r="S942" s="1"/>
      <c r="T942" s="1"/>
      <c r="U942" s="1"/>
      <c r="V942" s="1"/>
      <c r="W942" s="1"/>
    </row>
    <row r="943" spans="1:23" ht="23.2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1"/>
      <c r="R943" s="1"/>
      <c r="S943" s="1"/>
      <c r="T943" s="1"/>
      <c r="U943" s="1"/>
      <c r="V943" s="1"/>
      <c r="W943" s="1"/>
    </row>
    <row r="944" spans="1:23" ht="23.2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1"/>
      <c r="R944" s="1"/>
      <c r="S944" s="1"/>
      <c r="T944" s="1"/>
      <c r="U944" s="1"/>
      <c r="V944" s="1"/>
      <c r="W944" s="1"/>
    </row>
    <row r="945" spans="1:23" ht="23.2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1"/>
      <c r="R945" s="1"/>
      <c r="S945" s="1"/>
      <c r="T945" s="1"/>
      <c r="U945" s="1"/>
      <c r="V945" s="1"/>
      <c r="W945" s="1"/>
    </row>
    <row r="946" spans="1:23" ht="23.2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1"/>
      <c r="R946" s="1"/>
      <c r="S946" s="1"/>
      <c r="T946" s="1"/>
      <c r="U946" s="1"/>
      <c r="V946" s="1"/>
      <c r="W946" s="1"/>
    </row>
    <row r="947" spans="1:23" ht="23.2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1"/>
      <c r="R947" s="1"/>
      <c r="S947" s="1"/>
      <c r="T947" s="1"/>
      <c r="U947" s="1"/>
      <c r="V947" s="1"/>
      <c r="W947" s="1"/>
    </row>
    <row r="948" spans="1:23" ht="23.2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1"/>
      <c r="R948" s="1"/>
      <c r="S948" s="1"/>
      <c r="T948" s="1"/>
      <c r="U948" s="1"/>
      <c r="V948" s="1"/>
      <c r="W948" s="1"/>
    </row>
    <row r="949" spans="1:23" ht="23.2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1"/>
      <c r="R949" s="1"/>
      <c r="S949" s="1"/>
      <c r="T949" s="1"/>
      <c r="U949" s="1"/>
      <c r="V949" s="1"/>
      <c r="W949" s="1"/>
    </row>
    <row r="950" spans="1:23" ht="23.2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1"/>
      <c r="R950" s="1"/>
      <c r="S950" s="1"/>
      <c r="T950" s="1"/>
      <c r="U950" s="1"/>
      <c r="V950" s="1"/>
      <c r="W950" s="1"/>
    </row>
    <row r="951" spans="1:23" ht="23.2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1"/>
      <c r="R951" s="1"/>
      <c r="S951" s="1"/>
      <c r="T951" s="1"/>
      <c r="U951" s="1"/>
      <c r="V951" s="1"/>
      <c r="W951" s="1"/>
    </row>
    <row r="952" spans="1:23" ht="23.2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1"/>
      <c r="R952" s="1"/>
      <c r="S952" s="1"/>
      <c r="T952" s="1"/>
      <c r="U952" s="1"/>
      <c r="V952" s="1"/>
      <c r="W952" s="1"/>
    </row>
    <row r="953" spans="1:23" ht="23.2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1"/>
      <c r="R953" s="1"/>
      <c r="S953" s="1"/>
      <c r="T953" s="1"/>
      <c r="U953" s="1"/>
      <c r="V953" s="1"/>
      <c r="W953" s="1"/>
    </row>
    <row r="954" spans="1:23" ht="23.2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1"/>
      <c r="R954" s="1"/>
      <c r="S954" s="1"/>
      <c r="T954" s="1"/>
      <c r="U954" s="1"/>
      <c r="V954" s="1"/>
      <c r="W954" s="1"/>
    </row>
    <row r="955" spans="1:23" ht="23.2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1"/>
      <c r="R955" s="1"/>
      <c r="S955" s="1"/>
      <c r="T955" s="1"/>
      <c r="U955" s="1"/>
      <c r="V955" s="1"/>
      <c r="W955" s="1"/>
    </row>
    <row r="956" spans="1:23" ht="23.2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1"/>
      <c r="R956" s="1"/>
      <c r="S956" s="1"/>
      <c r="T956" s="1"/>
      <c r="U956" s="1"/>
      <c r="V956" s="1"/>
      <c r="W956" s="1"/>
    </row>
    <row r="957" spans="1:23" ht="23.2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1"/>
      <c r="R957" s="1"/>
      <c r="S957" s="1"/>
      <c r="T957" s="1"/>
      <c r="U957" s="1"/>
      <c r="V957" s="1"/>
      <c r="W957" s="1"/>
    </row>
    <row r="958" spans="1:23" ht="23.2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1"/>
      <c r="R958" s="1"/>
      <c r="S958" s="1"/>
      <c r="T958" s="1"/>
      <c r="U958" s="1"/>
      <c r="V958" s="1"/>
      <c r="W958" s="1"/>
    </row>
    <row r="959" spans="1:23" ht="23.2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1"/>
      <c r="R959" s="1"/>
      <c r="S959" s="1"/>
      <c r="T959" s="1"/>
      <c r="U959" s="1"/>
      <c r="V959" s="1"/>
      <c r="W959" s="1"/>
    </row>
    <row r="960" spans="1:23" ht="23.2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1"/>
      <c r="R960" s="1"/>
      <c r="S960" s="1"/>
      <c r="T960" s="1"/>
      <c r="U960" s="1"/>
      <c r="V960" s="1"/>
      <c r="W960" s="1"/>
    </row>
    <row r="961" spans="1:23" ht="23.2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1"/>
      <c r="R961" s="1"/>
      <c r="S961" s="1"/>
      <c r="T961" s="1"/>
      <c r="U961" s="1"/>
      <c r="V961" s="1"/>
      <c r="W961" s="1"/>
    </row>
    <row r="962" spans="1:23" ht="23.2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1"/>
      <c r="R962" s="1"/>
      <c r="S962" s="1"/>
      <c r="T962" s="1"/>
      <c r="U962" s="1"/>
      <c r="V962" s="1"/>
      <c r="W962" s="1"/>
    </row>
    <row r="963" spans="1:23" ht="23.2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1"/>
      <c r="R963" s="1"/>
      <c r="S963" s="1"/>
      <c r="T963" s="1"/>
      <c r="U963" s="1"/>
      <c r="V963" s="1"/>
      <c r="W963" s="1"/>
    </row>
    <row r="964" spans="1:23" ht="23.2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1"/>
      <c r="R964" s="1"/>
      <c r="S964" s="1"/>
      <c r="T964" s="1"/>
      <c r="U964" s="1"/>
      <c r="V964" s="1"/>
      <c r="W964" s="1"/>
    </row>
    <row r="965" spans="1:23" ht="23.2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1"/>
      <c r="R965" s="1"/>
      <c r="S965" s="1"/>
      <c r="T965" s="1"/>
      <c r="U965" s="1"/>
      <c r="V965" s="1"/>
      <c r="W965" s="1"/>
    </row>
    <row r="966" spans="1:23" ht="23.2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1"/>
      <c r="R966" s="1"/>
      <c r="S966" s="1"/>
      <c r="T966" s="1"/>
      <c r="U966" s="1"/>
      <c r="V966" s="1"/>
      <c r="W966" s="1"/>
    </row>
    <row r="967" spans="1:23" ht="23.2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1"/>
      <c r="R967" s="1"/>
      <c r="S967" s="1"/>
      <c r="T967" s="1"/>
      <c r="U967" s="1"/>
      <c r="V967" s="1"/>
      <c r="W967" s="1"/>
    </row>
    <row r="968" spans="1:23" ht="23.2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1"/>
      <c r="R968" s="1"/>
      <c r="S968" s="1"/>
      <c r="T968" s="1"/>
      <c r="U968" s="1"/>
      <c r="V968" s="1"/>
      <c r="W968" s="1"/>
    </row>
    <row r="969" spans="1:23" ht="23.2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1"/>
      <c r="R969" s="1"/>
      <c r="S969" s="1"/>
      <c r="T969" s="1"/>
      <c r="U969" s="1"/>
      <c r="V969" s="1"/>
      <c r="W969" s="1"/>
    </row>
    <row r="970" spans="1:23" ht="23.2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1"/>
      <c r="R970" s="1"/>
      <c r="S970" s="1"/>
      <c r="T970" s="1"/>
      <c r="U970" s="1"/>
      <c r="V970" s="1"/>
      <c r="W970" s="1"/>
    </row>
    <row r="971" spans="1:23" ht="23.2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1"/>
      <c r="R971" s="1"/>
      <c r="S971" s="1"/>
      <c r="T971" s="1"/>
      <c r="U971" s="1"/>
      <c r="V971" s="1"/>
      <c r="W971" s="1"/>
    </row>
    <row r="972" spans="1:23" ht="23.2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1"/>
      <c r="R972" s="1"/>
      <c r="S972" s="1"/>
      <c r="T972" s="1"/>
      <c r="U972" s="1"/>
      <c r="V972" s="1"/>
      <c r="W972" s="1"/>
    </row>
    <row r="973" spans="1:23" ht="23.2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1"/>
      <c r="R973" s="1"/>
      <c r="S973" s="1"/>
      <c r="T973" s="1"/>
      <c r="U973" s="1"/>
      <c r="V973" s="1"/>
      <c r="W973" s="1"/>
    </row>
    <row r="974" spans="1:23" ht="23.2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1"/>
      <c r="R974" s="1"/>
      <c r="S974" s="1"/>
      <c r="T974" s="1"/>
      <c r="U974" s="1"/>
      <c r="V974" s="1"/>
      <c r="W974" s="1"/>
    </row>
    <row r="975" spans="1:23" ht="23.2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1"/>
      <c r="R975" s="1"/>
      <c r="S975" s="1"/>
      <c r="T975" s="1"/>
      <c r="U975" s="1"/>
      <c r="V975" s="1"/>
      <c r="W975" s="1"/>
    </row>
    <row r="976" spans="1:23" ht="23.2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1"/>
      <c r="R976" s="1"/>
      <c r="S976" s="1"/>
      <c r="T976" s="1"/>
      <c r="U976" s="1"/>
      <c r="V976" s="1"/>
      <c r="W976" s="1"/>
    </row>
    <row r="977" spans="1:23" ht="23.2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1"/>
      <c r="R977" s="1"/>
      <c r="S977" s="1"/>
      <c r="T977" s="1"/>
      <c r="U977" s="1"/>
      <c r="V977" s="1"/>
      <c r="W977" s="1"/>
    </row>
    <row r="978" spans="1:23" ht="23.2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1"/>
      <c r="R978" s="1"/>
      <c r="S978" s="1"/>
      <c r="T978" s="1"/>
      <c r="U978" s="1"/>
      <c r="V978" s="1"/>
      <c r="W978" s="1"/>
    </row>
    <row r="979" spans="1:23" ht="23.2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1"/>
      <c r="R979" s="1"/>
      <c r="S979" s="1"/>
      <c r="T979" s="1"/>
      <c r="U979" s="1"/>
      <c r="V979" s="1"/>
      <c r="W979" s="1"/>
    </row>
    <row r="980" spans="1:23" ht="23.2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1"/>
      <c r="R980" s="1"/>
      <c r="S980" s="1"/>
      <c r="T980" s="1"/>
      <c r="U980" s="1"/>
      <c r="V980" s="1"/>
      <c r="W980" s="1"/>
    </row>
    <row r="981" spans="1:23" ht="23.2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1"/>
      <c r="R981" s="1"/>
      <c r="S981" s="1"/>
      <c r="T981" s="1"/>
      <c r="U981" s="1"/>
      <c r="V981" s="1"/>
      <c r="W981" s="1"/>
    </row>
    <row r="982" spans="1:23" ht="23.2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1"/>
      <c r="R982" s="1"/>
      <c r="S982" s="1"/>
      <c r="T982" s="1"/>
      <c r="U982" s="1"/>
      <c r="V982" s="1"/>
      <c r="W982" s="1"/>
    </row>
    <row r="983" spans="1:23" ht="23.2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1"/>
      <c r="R983" s="1"/>
      <c r="S983" s="1"/>
      <c r="T983" s="1"/>
      <c r="U983" s="1"/>
      <c r="V983" s="1"/>
      <c r="W983" s="1"/>
    </row>
    <row r="984" spans="1:23" ht="23.2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1"/>
      <c r="R984" s="1"/>
      <c r="S984" s="1"/>
      <c r="T984" s="1"/>
      <c r="U984" s="1"/>
      <c r="V984" s="1"/>
      <c r="W984" s="1"/>
    </row>
    <row r="985" spans="1:23" ht="23.2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1"/>
      <c r="R985" s="1"/>
      <c r="S985" s="1"/>
      <c r="T985" s="1"/>
      <c r="U985" s="1"/>
      <c r="V985" s="1"/>
      <c r="W985" s="1"/>
    </row>
    <row r="986" spans="1:23" ht="23.2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1"/>
      <c r="R986" s="1"/>
      <c r="S986" s="1"/>
      <c r="T986" s="1"/>
      <c r="U986" s="1"/>
      <c r="V986" s="1"/>
      <c r="W986" s="1"/>
    </row>
    <row r="987" spans="1:23" ht="23.2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1"/>
      <c r="R987" s="1"/>
      <c r="S987" s="1"/>
      <c r="T987" s="1"/>
      <c r="U987" s="1"/>
      <c r="V987" s="1"/>
      <c r="W987" s="1"/>
    </row>
    <row r="988" spans="1:23" ht="23.2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1"/>
      <c r="R988" s="1"/>
      <c r="S988" s="1"/>
      <c r="T988" s="1"/>
      <c r="U988" s="1"/>
      <c r="V988" s="1"/>
      <c r="W988" s="1"/>
    </row>
    <row r="989" spans="1:23" ht="23.2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1"/>
      <c r="R989" s="1"/>
      <c r="S989" s="1"/>
      <c r="T989" s="1"/>
      <c r="U989" s="1"/>
      <c r="V989" s="1"/>
      <c r="W989" s="1"/>
    </row>
    <row r="990" spans="1:23" ht="23.2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1"/>
      <c r="R990" s="1"/>
      <c r="S990" s="1"/>
      <c r="T990" s="1"/>
      <c r="U990" s="1"/>
      <c r="V990" s="1"/>
      <c r="W990" s="1"/>
    </row>
    <row r="991" spans="1:23" ht="23.2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1"/>
      <c r="R991" s="1"/>
      <c r="S991" s="1"/>
      <c r="T991" s="1"/>
      <c r="U991" s="1"/>
      <c r="V991" s="1"/>
      <c r="W991" s="1"/>
    </row>
    <row r="992" spans="1:23" ht="23.2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1"/>
      <c r="R992" s="1"/>
      <c r="S992" s="1"/>
      <c r="T992" s="1"/>
      <c r="U992" s="1"/>
      <c r="V992" s="1"/>
      <c r="W992" s="1"/>
    </row>
    <row r="993" spans="1:23" ht="23.2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1"/>
      <c r="R993" s="1"/>
      <c r="S993" s="1"/>
      <c r="T993" s="1"/>
      <c r="U993" s="1"/>
      <c r="V993" s="1"/>
      <c r="W993" s="1"/>
    </row>
    <row r="994" spans="1:23" ht="23.2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1"/>
      <c r="R994" s="1"/>
      <c r="S994" s="1"/>
      <c r="T994" s="1"/>
      <c r="U994" s="1"/>
      <c r="V994" s="1"/>
      <c r="W994" s="1"/>
    </row>
    <row r="995" spans="1:23" ht="23.2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1"/>
      <c r="R995" s="1"/>
      <c r="S995" s="1"/>
      <c r="T995" s="1"/>
      <c r="U995" s="1"/>
      <c r="V995" s="1"/>
      <c r="W995" s="1"/>
    </row>
    <row r="996" spans="1:23" ht="23.2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1"/>
      <c r="R996" s="1"/>
      <c r="S996" s="1"/>
      <c r="T996" s="1"/>
      <c r="U996" s="1"/>
      <c r="V996" s="1"/>
      <c r="W996" s="1"/>
    </row>
    <row r="997" spans="1:23" ht="23.2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1"/>
      <c r="R997" s="1"/>
      <c r="S997" s="1"/>
      <c r="T997" s="1"/>
      <c r="U997" s="1"/>
      <c r="V997" s="1"/>
      <c r="W997" s="1"/>
    </row>
  </sheetData>
  <pageMargins left="0.75" right="0.75" top="1" bottom="1" header="0.5" footer="0.5"/>
  <pageSetup paperSize="9" orientation="portrait" horizontalDpi="4294967292" verticalDpi="4294967292"/>
  <ignoredErrors>
    <ignoredError sqref="C60:D60 C76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zoomScale="150" zoomScaleNormal="150" zoomScalePageLayoutView="150" workbookViewId="0">
      <selection activeCell="B2" sqref="B2:H15"/>
    </sheetView>
  </sheetViews>
  <sheetFormatPr defaultColWidth="11.42578125" defaultRowHeight="12.75"/>
  <cols>
    <col min="1" max="1" width="2.7109375" customWidth="1"/>
    <col min="2" max="2" width="34" style="93" customWidth="1"/>
    <col min="3" max="6" width="10.85546875" style="92" customWidth="1"/>
    <col min="7" max="7" width="34.28515625" customWidth="1"/>
    <col min="8" max="8" width="23.85546875" customWidth="1"/>
  </cols>
  <sheetData>
    <row r="1" spans="2:8" ht="9" customHeight="1"/>
    <row r="2" spans="2:8" ht="18">
      <c r="B2" s="100" t="s">
        <v>123</v>
      </c>
      <c r="C2" s="100"/>
      <c r="D2" s="100"/>
      <c r="E2" s="100"/>
      <c r="F2" s="100"/>
      <c r="G2" s="100"/>
      <c r="H2" s="100"/>
    </row>
    <row r="3" spans="2:8" ht="9" customHeight="1"/>
    <row r="4" spans="2:8">
      <c r="B4" s="99" t="s">
        <v>124</v>
      </c>
      <c r="C4" s="98" t="s">
        <v>140</v>
      </c>
      <c r="D4" s="98"/>
      <c r="E4" s="98"/>
      <c r="F4" s="98"/>
      <c r="G4" s="99" t="s">
        <v>139</v>
      </c>
      <c r="H4" s="98" t="s">
        <v>141</v>
      </c>
    </row>
    <row r="5" spans="2:8" ht="30.95" customHeight="1">
      <c r="B5" s="99"/>
      <c r="C5" s="94" t="s">
        <v>135</v>
      </c>
      <c r="D5" s="94" t="s">
        <v>136</v>
      </c>
      <c r="E5" s="94" t="s">
        <v>137</v>
      </c>
      <c r="F5" s="94" t="s">
        <v>138</v>
      </c>
      <c r="G5" s="99"/>
      <c r="H5" s="98"/>
    </row>
    <row r="6" spans="2:8" ht="26.1" customHeight="1">
      <c r="B6" s="97" t="s">
        <v>125</v>
      </c>
      <c r="C6" s="95"/>
      <c r="D6" s="95"/>
      <c r="E6" s="95"/>
      <c r="F6" s="95"/>
      <c r="G6" s="96"/>
      <c r="H6" s="96"/>
    </row>
    <row r="7" spans="2:8" ht="26.1" customHeight="1">
      <c r="B7" s="97" t="s">
        <v>126</v>
      </c>
      <c r="C7" s="95"/>
      <c r="D7" s="95"/>
      <c r="E7" s="95"/>
      <c r="F7" s="95"/>
      <c r="G7" s="96"/>
      <c r="H7" s="96"/>
    </row>
    <row r="8" spans="2:8" ht="26.1" customHeight="1">
      <c r="B8" s="97" t="s">
        <v>127</v>
      </c>
      <c r="C8" s="95"/>
      <c r="D8" s="95"/>
      <c r="E8" s="95"/>
      <c r="F8" s="95"/>
      <c r="G8" s="96"/>
      <c r="H8" s="96"/>
    </row>
    <row r="9" spans="2:8" ht="26.1" customHeight="1">
      <c r="B9" s="97" t="s">
        <v>128</v>
      </c>
      <c r="C9" s="95"/>
      <c r="D9" s="95"/>
      <c r="E9" s="95"/>
      <c r="F9" s="95"/>
      <c r="G9" s="96"/>
      <c r="H9" s="96"/>
    </row>
    <row r="10" spans="2:8" ht="26.1" customHeight="1">
      <c r="B10" s="97" t="s">
        <v>129</v>
      </c>
      <c r="C10" s="95"/>
      <c r="D10" s="95"/>
      <c r="E10" s="95"/>
      <c r="F10" s="95"/>
      <c r="G10" s="96"/>
      <c r="H10" s="96"/>
    </row>
    <row r="11" spans="2:8" ht="26.1" customHeight="1">
      <c r="B11" s="97" t="s">
        <v>130</v>
      </c>
      <c r="C11" s="95"/>
      <c r="D11" s="95"/>
      <c r="E11" s="95"/>
      <c r="F11" s="95"/>
      <c r="G11" s="96"/>
      <c r="H11" s="96"/>
    </row>
    <row r="12" spans="2:8" ht="26.1" customHeight="1">
      <c r="B12" s="97" t="s">
        <v>131</v>
      </c>
      <c r="C12" s="95"/>
      <c r="D12" s="95"/>
      <c r="E12" s="95"/>
      <c r="F12" s="95"/>
      <c r="G12" s="96"/>
      <c r="H12" s="96"/>
    </row>
    <row r="13" spans="2:8" ht="26.1" customHeight="1">
      <c r="B13" s="97" t="s">
        <v>132</v>
      </c>
      <c r="C13" s="95"/>
      <c r="D13" s="95"/>
      <c r="E13" s="95"/>
      <c r="F13" s="95"/>
      <c r="G13" s="96"/>
      <c r="H13" s="96"/>
    </row>
    <row r="14" spans="2:8" ht="26.1" customHeight="1">
      <c r="B14" s="97" t="s">
        <v>133</v>
      </c>
      <c r="C14" s="95"/>
      <c r="D14" s="95"/>
      <c r="E14" s="95"/>
      <c r="F14" s="95"/>
      <c r="G14" s="96"/>
      <c r="H14" s="96"/>
    </row>
    <row r="15" spans="2:8" ht="26.1" customHeight="1">
      <c r="B15" s="97" t="s">
        <v>134</v>
      </c>
      <c r="C15" s="95"/>
      <c r="D15" s="95"/>
      <c r="E15" s="95"/>
      <c r="F15" s="95"/>
      <c r="G15" s="96"/>
      <c r="H15" s="96"/>
    </row>
  </sheetData>
  <mergeCells count="5">
    <mergeCell ref="C4:F4"/>
    <mergeCell ref="G4:G5"/>
    <mergeCell ref="B4:B5"/>
    <mergeCell ref="H4:H5"/>
    <mergeCell ref="B2:H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GEA éléments financiers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eric.howsam</dc:creator>
  <cp:lastModifiedBy>elafrit</cp:lastModifiedBy>
  <dcterms:created xsi:type="dcterms:W3CDTF">2016-11-27T21:03:05Z</dcterms:created>
  <dcterms:modified xsi:type="dcterms:W3CDTF">2017-12-17T00:14:00Z</dcterms:modified>
</cp:coreProperties>
</file>