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695" windowHeight="16500" tabRatio="604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<sst xmlns="http://schemas.openxmlformats.org/spreadsheetml/2006/main" count="63" uniqueCount="59">
  <si>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Chiffre d'affaires</t>
  </si>
  <si>
    <t>Achats</t>
  </si>
  <si>
    <t>Charges de personnel</t>
  </si>
  <si>
    <t>Autres charges d'exploitation</t>
  </si>
  <si>
    <t>Dotations aux amortissements</t>
  </si>
  <si>
    <t>Résultat d'exploitation</t>
  </si>
  <si>
    <t>Frais financiers</t>
  </si>
  <si>
    <t>Résultat net</t>
  </si>
  <si>
    <t>Immobilisations</t>
  </si>
  <si>
    <t>BFR</t>
  </si>
  <si>
    <t>Actif Economique</t>
  </si>
  <si>
    <t>Capitaux propres</t>
  </si>
  <si>
    <t>Dette financière nette</t>
  </si>
  <si>
    <t>Capitaux investis</t>
  </si>
  <si>
    <t>Capacité d'autofinancement</t>
  </si>
  <si>
    <t>Investissements</t>
  </si>
  <si>
    <t>Investissement en pleine propriété</t>
  </si>
  <si>
    <t>COMPTE DE RESULTAT</t>
  </si>
  <si>
    <t>en milliers d'euros</t>
  </si>
  <si>
    <t>2018e</t>
  </si>
  <si>
    <t>2019e</t>
  </si>
  <si>
    <t>2020e</t>
  </si>
  <si>
    <t>2021e</t>
  </si>
  <si>
    <t>2022e</t>
  </si>
  <si>
    <t>2023e</t>
  </si>
  <si>
    <t>Loyers</t>
  </si>
  <si>
    <t>Excédent Brut d'Exploitation</t>
  </si>
  <si>
    <t>IS (25%)</t>
  </si>
  <si>
    <t>Résultat Net</t>
  </si>
  <si>
    <t>BILAN</t>
  </si>
  <si>
    <t>TABLEAU DE FLUX</t>
  </si>
  <si>
    <t>Variation de BFR</t>
  </si>
  <si>
    <t>Flux de trésorerie d'exploitation (*)</t>
  </si>
  <si>
    <t>Flux de trésorerie disponible (*)</t>
  </si>
  <si>
    <t>Augmentation (Diminution) de l'endettement net</t>
  </si>
  <si>
    <t>Hypothèse coût dette</t>
  </si>
  <si>
    <t>avant impôt</t>
  </si>
  <si>
    <t>(*) Après frais financiers.</t>
  </si>
  <si>
    <t>Calcul des flux de trésorerie</t>
  </si>
  <si>
    <t>EBE</t>
  </si>
  <si>
    <t xml:space="preserve">+ Dotations aux amortissements </t>
  </si>
  <si>
    <t>- Variation de BFR</t>
  </si>
  <si>
    <t>- Investissement</t>
  </si>
  <si>
    <t>- IS calculés sur Rex</t>
  </si>
  <si>
    <t>Année</t>
  </si>
  <si>
    <t>Taux d'IS sur le Rex</t>
  </si>
  <si>
    <t>= Flux de trésorerie disponibles</t>
  </si>
  <si>
    <t>Flux de trésorerie actualisés</t>
  </si>
  <si>
    <t>VAN</t>
  </si>
  <si>
    <t>TRI</t>
  </si>
  <si>
    <t>Nombre de mois cumulés</t>
  </si>
  <si>
    <t>Flux de tréso (non actualisés) cumulés</t>
  </si>
  <si>
    <t>Payback (avec flux non actualisés)</t>
  </si>
  <si>
    <t>Flux de tréso (actualisés) cumulés</t>
  </si>
  <si>
    <t>Payback (avec flux actualisés)</t>
  </si>
  <si>
    <t>+ Dotation aux amortissements</t>
  </si>
  <si>
    <t>= Résultat d'exploitation (Rex)</t>
  </si>
  <si>
    <t xml:space="preserve">Hypothèses : </t>
  </si>
  <si>
    <t>Taux d'actualisation (WACC de la Q6)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</si>
</sst>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%"/>
    <numFmt numFmtId="191" formatCode="0.00000"/>
    <numFmt numFmtId="192" formatCode="0.0000"/>
    <numFmt numFmtId="193" formatCode="0.000%"/>
    <numFmt numFmtId="194" formatCode="0.0000%"/>
    <numFmt numFmtId="195" formatCode="0.00000%"/>
    <numFmt numFmtId="196" formatCode="#,##0.0\ &quot;€&quot;;[Red]\-#,##0.0\ &quot;€&quot;"/>
    <numFmt numFmtId="197" formatCode="#,##0;\(#,##0\);&quot;-&quot;"/>
    <numFmt numFmtId="198" formatCode="0.000000"/>
    <numFmt numFmtId="199" formatCode="#,##0.0;\(#,##0.0\);&quot;-&quot;"/>
    <numFmt numFmtId="200" formatCode="#,##0.00;\(#,##0.00\);&quot;-&quot;"/>
    <numFmt numFmtId="201" formatCode="0.00000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26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197" fontId="0" fillId="0" borderId="10" xfId="0" applyNumberFormat="1" applyBorder="1" applyAlignment="1">
      <alignment/>
    </xf>
    <xf numFmtId="197" fontId="0" fillId="0" borderId="11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97" fontId="1" fillId="0" borderId="12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190" fontId="0" fillId="0" borderId="0" xfId="59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59" applyFont="1" applyBorder="1" applyAlignment="1">
      <alignment/>
    </xf>
    <xf numFmtId="9" fontId="0" fillId="0" borderId="0" xfId="59" applyFont="1" applyAlignment="1">
      <alignment/>
    </xf>
    <xf numFmtId="10" fontId="0" fillId="0" borderId="0" xfId="0" applyNumberFormat="1" applyAlignment="1">
      <alignment/>
    </xf>
    <xf numFmtId="19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0" xfId="59" applyNumberFormat="1" applyFont="1" applyFill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quotePrefix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197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FF"/>
      <rgbColor rgb="009999FF"/>
      <rgbColor rgb="00333333"/>
      <rgbColor rgb="00999999"/>
      <rgbColor rgb="006666FF"/>
      <rgbColor rgb="00666666"/>
      <rgbColor rgb="00CCCCFF"/>
      <rgbColor rgb="00CCCCCC"/>
      <rgbColor rgb="00000000"/>
      <rgbColor rgb="000000FF"/>
      <rgbColor rgb="00999999"/>
      <rgbColor rgb="009999FF"/>
      <rgbColor rgb="00333333"/>
      <rgbColor rgb="003333FF"/>
      <rgbColor rgb="00CCCCCC"/>
      <rgbColor rgb="00CC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tabSelected="1" zoomScalePageLayoutView="0" workbookViewId="0" topLeftCell="A72">
      <selection activeCell="A73" sqref="A73"/>
    </sheetView>
  </sheetViews>
  <sheetFormatPr defaultColWidth="11.421875" defaultRowHeight="12.75"/>
  <cols>
    <col min="1" max="1" width="28.421875" style="0" customWidth="1"/>
    <col min="2" max="2" width="9.00390625" style="0" customWidth="1"/>
    <col min="3" max="3" width="7.421875" style="0" customWidth="1"/>
    <col min="4" max="6" width="6.7109375" style="0" customWidth="1"/>
    <col min="7" max="16" width="8.00390625" style="0" customWidth="1"/>
    <col min="17" max="30" width="6.8515625" style="0" customWidth="1"/>
  </cols>
  <sheetData>
    <row r="1" spans="1:8" ht="12.75">
      <c r="A1" s="28" t="s">
        <v>16</v>
      </c>
      <c r="B1" s="28"/>
      <c r="C1" s="28"/>
      <c r="D1" s="28"/>
      <c r="E1" s="28"/>
      <c r="F1" s="28"/>
      <c r="G1" s="28"/>
      <c r="H1" s="28"/>
    </row>
    <row r="3" spans="1:8" ht="12.75">
      <c r="A3" t="s">
        <v>17</v>
      </c>
      <c r="H3" s="1" t="s">
        <v>18</v>
      </c>
    </row>
    <row r="5" spans="2:8" ht="12.75">
      <c r="B5">
        <v>2017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</row>
    <row r="7" spans="1:8" ht="12.75">
      <c r="A7" t="s">
        <v>0</v>
      </c>
      <c r="B7" s="2">
        <v>0</v>
      </c>
      <c r="C7" s="3">
        <v>3429</v>
      </c>
      <c r="D7" s="3">
        <v>5988</v>
      </c>
      <c r="E7" s="3">
        <v>6800</v>
      </c>
      <c r="F7" s="3">
        <v>7088</v>
      </c>
      <c r="G7" s="3">
        <v>7390</v>
      </c>
      <c r="H7" s="3">
        <v>7635</v>
      </c>
    </row>
    <row r="8" spans="2:8" ht="12.75">
      <c r="B8" s="4"/>
      <c r="C8" s="5"/>
      <c r="D8" s="5"/>
      <c r="E8" s="5"/>
      <c r="F8" s="5"/>
      <c r="G8" s="5"/>
      <c r="H8" s="5"/>
    </row>
    <row r="9" spans="1:8" ht="12.75">
      <c r="A9" t="s">
        <v>1</v>
      </c>
      <c r="B9" s="4">
        <v>0</v>
      </c>
      <c r="C9" s="5">
        <v>-1484</v>
      </c>
      <c r="D9" s="5">
        <v>-2551</v>
      </c>
      <c r="E9" s="5">
        <v>-2912</v>
      </c>
      <c r="F9" s="5">
        <v>-3047</v>
      </c>
      <c r="G9" s="5">
        <v>-3190</v>
      </c>
      <c r="H9" s="5">
        <v>-3301</v>
      </c>
    </row>
    <row r="10" spans="2:8" ht="12.75">
      <c r="B10" s="4"/>
      <c r="C10" s="5"/>
      <c r="D10" s="5"/>
      <c r="E10" s="5"/>
      <c r="F10" s="5"/>
      <c r="G10" s="5"/>
      <c r="H10" s="5"/>
    </row>
    <row r="11" spans="1:8" ht="12.75">
      <c r="A11" t="s">
        <v>2</v>
      </c>
      <c r="B11" s="4">
        <v>0</v>
      </c>
      <c r="C11" s="5">
        <v>-667</v>
      </c>
      <c r="D11" s="5">
        <v>-887</v>
      </c>
      <c r="E11" s="5">
        <v>-913</v>
      </c>
      <c r="F11" s="5">
        <v>-941</v>
      </c>
      <c r="G11" s="5">
        <v>-969</v>
      </c>
      <c r="H11" s="5">
        <v>-988</v>
      </c>
    </row>
    <row r="12" spans="2:8" ht="12.75">
      <c r="B12" s="4"/>
      <c r="C12" s="5"/>
      <c r="D12" s="5"/>
      <c r="E12" s="5"/>
      <c r="F12" s="5"/>
      <c r="G12" s="5"/>
      <c r="H12" s="5"/>
    </row>
    <row r="13" spans="1:8" ht="12.75">
      <c r="A13" t="s">
        <v>3</v>
      </c>
      <c r="B13" s="4">
        <v>0</v>
      </c>
      <c r="C13" s="5">
        <f>-1152+667+273</f>
        <v>-212</v>
      </c>
      <c r="D13" s="5">
        <v>-51</v>
      </c>
      <c r="E13" s="5">
        <v>169</v>
      </c>
      <c r="F13" s="5">
        <v>176</v>
      </c>
      <c r="G13" s="5">
        <v>181</v>
      </c>
      <c r="H13" s="5">
        <v>197</v>
      </c>
    </row>
    <row r="14" spans="2:8" ht="12.75">
      <c r="B14" s="4"/>
      <c r="C14" s="5"/>
      <c r="D14" s="5"/>
      <c r="E14" s="5"/>
      <c r="F14" s="5"/>
      <c r="G14" s="5"/>
      <c r="H14" s="5"/>
    </row>
    <row r="15" spans="1:8" ht="12.75">
      <c r="A15" t="s">
        <v>25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2:8" ht="12.75">
      <c r="B16" s="4"/>
      <c r="C16" s="5"/>
      <c r="D16" s="5"/>
      <c r="E16" s="5"/>
      <c r="F16" s="5"/>
      <c r="G16" s="5"/>
      <c r="H16" s="5"/>
    </row>
    <row r="17" spans="1:8" ht="12.75">
      <c r="A17" s="6" t="s">
        <v>26</v>
      </c>
      <c r="B17" s="7">
        <v>0</v>
      </c>
      <c r="C17" s="8">
        <f aca="true" t="shared" si="0" ref="C17:H17">+SUM(C7:C15)</f>
        <v>1066</v>
      </c>
      <c r="D17" s="8">
        <f t="shared" si="0"/>
        <v>2499</v>
      </c>
      <c r="E17" s="8">
        <f t="shared" si="0"/>
        <v>3144</v>
      </c>
      <c r="F17" s="8">
        <f t="shared" si="0"/>
        <v>3276</v>
      </c>
      <c r="G17" s="8">
        <f t="shared" si="0"/>
        <v>3412</v>
      </c>
      <c r="H17" s="8">
        <f t="shared" si="0"/>
        <v>3543</v>
      </c>
    </row>
    <row r="18" spans="2:8" ht="12.75">
      <c r="B18" s="4"/>
      <c r="C18" s="5"/>
      <c r="D18" s="5"/>
      <c r="E18" s="5"/>
      <c r="F18" s="5"/>
      <c r="G18" s="5"/>
      <c r="H18" s="5"/>
    </row>
    <row r="19" spans="1:8" ht="12.75">
      <c r="A19" t="s">
        <v>4</v>
      </c>
      <c r="B19" s="4">
        <v>0</v>
      </c>
      <c r="C19" s="5">
        <v>-1622</v>
      </c>
      <c r="D19" s="5">
        <v>-2163</v>
      </c>
      <c r="E19" s="5">
        <f>D19</f>
        <v>-2163</v>
      </c>
      <c r="F19" s="5">
        <f>E19</f>
        <v>-2163</v>
      </c>
      <c r="G19" s="5">
        <f>F19</f>
        <v>-2163</v>
      </c>
      <c r="H19" s="5">
        <f>G19</f>
        <v>-2163</v>
      </c>
    </row>
    <row r="20" spans="2:8" ht="12.75">
      <c r="B20" s="4"/>
      <c r="C20" s="5"/>
      <c r="D20" s="5"/>
      <c r="E20" s="5"/>
      <c r="F20" s="5"/>
      <c r="G20" s="5"/>
      <c r="H20" s="5"/>
    </row>
    <row r="21" spans="1:8" ht="12.75">
      <c r="A21" s="6" t="s">
        <v>5</v>
      </c>
      <c r="B21" s="7">
        <v>0</v>
      </c>
      <c r="C21" s="8">
        <f aca="true" t="shared" si="1" ref="C21:H21">+C17+C19</f>
        <v>-556</v>
      </c>
      <c r="D21" s="8">
        <f t="shared" si="1"/>
        <v>336</v>
      </c>
      <c r="E21" s="8">
        <f t="shared" si="1"/>
        <v>981</v>
      </c>
      <c r="F21" s="8">
        <f t="shared" si="1"/>
        <v>1113</v>
      </c>
      <c r="G21" s="8">
        <f t="shared" si="1"/>
        <v>1249</v>
      </c>
      <c r="H21" s="8">
        <f t="shared" si="1"/>
        <v>1380</v>
      </c>
    </row>
    <row r="22" spans="2:8" ht="12.75">
      <c r="B22" s="4"/>
      <c r="C22" s="5"/>
      <c r="D22" s="5"/>
      <c r="E22" s="5"/>
      <c r="F22" s="5"/>
      <c r="G22" s="5"/>
      <c r="H22" s="5"/>
    </row>
    <row r="23" spans="1:8" ht="12.75">
      <c r="A23" t="s">
        <v>6</v>
      </c>
      <c r="B23" s="4">
        <v>0</v>
      </c>
      <c r="C23" s="5">
        <f aca="true" t="shared" si="2" ref="C23:H23">-$B$72*B43</f>
        <v>-143.5</v>
      </c>
      <c r="D23" s="5">
        <f t="shared" si="2"/>
        <v>-137.58655974337168</v>
      </c>
      <c r="E23" s="5">
        <f t="shared" si="2"/>
        <v>-125.71155974337168</v>
      </c>
      <c r="F23" s="5">
        <f t="shared" si="2"/>
        <v>-111.58655974337168</v>
      </c>
      <c r="G23" s="5">
        <f t="shared" si="2"/>
        <v>-96.98155974337168</v>
      </c>
      <c r="H23" s="5">
        <f t="shared" si="2"/>
        <v>-81.81</v>
      </c>
    </row>
    <row r="24" spans="2:8" ht="12.75">
      <c r="B24" s="4"/>
      <c r="C24" s="5"/>
      <c r="D24" s="5"/>
      <c r="E24" s="5"/>
      <c r="F24" s="5"/>
      <c r="G24" s="5"/>
      <c r="H24" s="5"/>
    </row>
    <row r="25" spans="1:8" ht="12.75">
      <c r="A25" t="s">
        <v>27</v>
      </c>
      <c r="B25" s="4">
        <v>0</v>
      </c>
      <c r="C25" s="5">
        <v>175</v>
      </c>
      <c r="D25" s="5">
        <v>-50</v>
      </c>
      <c r="E25" s="5">
        <v>-214</v>
      </c>
      <c r="F25" s="5">
        <v>-250</v>
      </c>
      <c r="G25" s="5">
        <v>-288</v>
      </c>
      <c r="H25" s="5">
        <v>-325</v>
      </c>
    </row>
    <row r="26" spans="2:8" ht="12.75">
      <c r="B26" s="4"/>
      <c r="C26" s="5"/>
      <c r="D26" s="5"/>
      <c r="E26" s="5"/>
      <c r="F26" s="5"/>
      <c r="G26" s="5"/>
      <c r="H26" s="5"/>
    </row>
    <row r="27" spans="1:8" ht="12.75">
      <c r="A27" s="6" t="s">
        <v>28</v>
      </c>
      <c r="B27" s="7">
        <v>0</v>
      </c>
      <c r="C27" s="8">
        <f>+SUM(C21:C25)</f>
        <v>-524.5</v>
      </c>
      <c r="D27" s="8">
        <v>149</v>
      </c>
      <c r="E27" s="8">
        <f>+SUM(E21:E25)</f>
        <v>641.2884402566283</v>
      </c>
      <c r="F27" s="8">
        <f>+SUM(F21:F25)</f>
        <v>751.4134402566283</v>
      </c>
      <c r="G27" s="8">
        <f>+SUM(G21:G25)</f>
        <v>864.0184402566283</v>
      </c>
      <c r="H27" s="8">
        <v>974</v>
      </c>
    </row>
    <row r="33" spans="1:32" ht="12.75">
      <c r="A33" t="s">
        <v>29</v>
      </c>
      <c r="B33" s="1">
        <f>B5</f>
        <v>2017</v>
      </c>
      <c r="C33" s="1" t="str">
        <f aca="true" t="shared" si="3" ref="C33:H33">C5</f>
        <v>2018e</v>
      </c>
      <c r="D33" s="1" t="str">
        <f t="shared" si="3"/>
        <v>2019e</v>
      </c>
      <c r="E33" s="1" t="str">
        <f t="shared" si="3"/>
        <v>2020e</v>
      </c>
      <c r="F33" s="1" t="str">
        <f t="shared" si="3"/>
        <v>2021e</v>
      </c>
      <c r="G33" s="1" t="str">
        <f t="shared" si="3"/>
        <v>2022e</v>
      </c>
      <c r="H33" s="1" t="str">
        <f t="shared" si="3"/>
        <v>2023e</v>
      </c>
      <c r="AD33" s="1"/>
      <c r="AE33" s="1"/>
      <c r="AF33" s="1"/>
    </row>
    <row r="34" spans="3:8" ht="12.75">
      <c r="C34" s="9"/>
      <c r="D34" s="9"/>
      <c r="E34" s="9"/>
      <c r="F34" s="9"/>
      <c r="G34" s="9"/>
      <c r="H34" s="9"/>
    </row>
    <row r="35" spans="1:8" ht="12.75">
      <c r="A35" t="s">
        <v>8</v>
      </c>
      <c r="B35" s="2">
        <v>28700</v>
      </c>
      <c r="C35" s="3">
        <f aca="true" t="shared" si="4" ref="C35:H35">+B35+C19</f>
        <v>27078</v>
      </c>
      <c r="D35" s="3">
        <f t="shared" si="4"/>
        <v>24915</v>
      </c>
      <c r="E35" s="3">
        <f t="shared" si="4"/>
        <v>22752</v>
      </c>
      <c r="F35" s="3">
        <f t="shared" si="4"/>
        <v>20589</v>
      </c>
      <c r="G35" s="3">
        <f t="shared" si="4"/>
        <v>18426</v>
      </c>
      <c r="H35" s="3">
        <f t="shared" si="4"/>
        <v>16263</v>
      </c>
    </row>
    <row r="36" spans="2:8" ht="12.75">
      <c r="B36" s="4"/>
      <c r="C36" s="5"/>
      <c r="D36" s="5"/>
      <c r="E36" s="5"/>
      <c r="F36" s="5"/>
      <c r="G36" s="5"/>
      <c r="H36" s="5"/>
    </row>
    <row r="37" spans="1:8" ht="12.75">
      <c r="A37" t="s">
        <v>9</v>
      </c>
      <c r="B37" s="4">
        <v>0</v>
      </c>
      <c r="C37" s="5">
        <v>-85.1880513256648</v>
      </c>
      <c r="D37" s="5">
        <v>-148.76233634823004</v>
      </c>
      <c r="E37" s="5">
        <v>-168.9351848977896</v>
      </c>
      <c r="F37" s="5">
        <v>-176.09008684640187</v>
      </c>
      <c r="G37" s="5">
        <v>-183.59279652862725</v>
      </c>
      <c r="H37" s="5">
        <v>-189.67943186685645</v>
      </c>
    </row>
    <row r="38" spans="2:8" ht="12.75">
      <c r="B38" s="4"/>
      <c r="C38" s="5"/>
      <c r="D38" s="5"/>
      <c r="E38" s="5"/>
      <c r="F38" s="5"/>
      <c r="G38" s="5"/>
      <c r="H38" s="5"/>
    </row>
    <row r="39" spans="1:8" ht="12.75">
      <c r="A39" s="6" t="s">
        <v>10</v>
      </c>
      <c r="B39" s="7">
        <f aca="true" t="shared" si="5" ref="B39:H39">+B37+B35</f>
        <v>28700</v>
      </c>
      <c r="C39" s="8">
        <f t="shared" si="5"/>
        <v>26992.811948674334</v>
      </c>
      <c r="D39" s="8">
        <f t="shared" si="5"/>
        <v>24766.23766365177</v>
      </c>
      <c r="E39" s="8">
        <f t="shared" si="5"/>
        <v>22583.06481510221</v>
      </c>
      <c r="F39" s="8">
        <f t="shared" si="5"/>
        <v>20412.9099131536</v>
      </c>
      <c r="G39" s="8">
        <f t="shared" si="5"/>
        <v>18242.40720347137</v>
      </c>
      <c r="H39" s="8">
        <f t="shared" si="5"/>
        <v>16073.320568133144</v>
      </c>
    </row>
    <row r="40" spans="2:8" ht="12.75">
      <c r="B40" s="4"/>
      <c r="C40" s="5"/>
      <c r="D40" s="5"/>
      <c r="E40" s="5"/>
      <c r="F40" s="5"/>
      <c r="G40" s="5"/>
      <c r="H40" s="5"/>
    </row>
    <row r="41" spans="1:8" ht="12.75">
      <c r="A41" t="s">
        <v>11</v>
      </c>
      <c r="B41" s="4">
        <v>0</v>
      </c>
      <c r="C41" s="5">
        <f>+B41+C27</f>
        <v>-524.5</v>
      </c>
      <c r="D41" s="5">
        <f>+C41+D27</f>
        <v>-375.5</v>
      </c>
      <c r="E41" s="5">
        <f>+D41+E27</f>
        <v>265.7884402566283</v>
      </c>
      <c r="F41" s="5">
        <f>+E41+F27</f>
        <v>1017.2018805132566</v>
      </c>
      <c r="G41" s="5">
        <f>+F41+G27</f>
        <v>1881.220320769885</v>
      </c>
      <c r="H41" s="5">
        <v>2854</v>
      </c>
    </row>
    <row r="42" spans="2:8" ht="12.75">
      <c r="B42" s="4"/>
      <c r="C42" s="5"/>
      <c r="D42" s="5"/>
      <c r="E42" s="5"/>
      <c r="F42" s="5"/>
      <c r="G42" s="5"/>
      <c r="H42" s="5"/>
    </row>
    <row r="43" spans="1:8" ht="12.75">
      <c r="A43" t="s">
        <v>12</v>
      </c>
      <c r="B43" s="4">
        <f>+B35</f>
        <v>28700</v>
      </c>
      <c r="C43" s="5">
        <f>C39-C41</f>
        <v>27517.311948674334</v>
      </c>
      <c r="D43" s="5">
        <f>+C43+D67</f>
        <v>25142.311948674334</v>
      </c>
      <c r="E43" s="5">
        <f>+D43+E67</f>
        <v>22317.311948674334</v>
      </c>
      <c r="F43" s="5">
        <f>+E43+F67</f>
        <v>19396.311948674334</v>
      </c>
      <c r="G43" s="5">
        <v>16362</v>
      </c>
      <c r="H43" s="5">
        <v>13219</v>
      </c>
    </row>
    <row r="44" spans="2:8" ht="12.75">
      <c r="B44" s="4"/>
      <c r="C44" s="5"/>
      <c r="D44" s="5"/>
      <c r="E44" s="5"/>
      <c r="F44" s="5"/>
      <c r="G44" s="5"/>
      <c r="H44" s="5"/>
    </row>
    <row r="45" spans="1:8" ht="12.75">
      <c r="A45" s="6" t="s">
        <v>13</v>
      </c>
      <c r="B45" s="7">
        <f aca="true" t="shared" si="6" ref="B45:H45">+B43+B41</f>
        <v>28700</v>
      </c>
      <c r="C45" s="8">
        <f t="shared" si="6"/>
        <v>26992.811948674334</v>
      </c>
      <c r="D45" s="8">
        <v>24766</v>
      </c>
      <c r="E45" s="8">
        <f t="shared" si="6"/>
        <v>22583.10038893096</v>
      </c>
      <c r="F45" s="8">
        <v>20413</v>
      </c>
      <c r="G45" s="8">
        <v>18242</v>
      </c>
      <c r="H45" s="8">
        <f t="shared" si="6"/>
        <v>16073</v>
      </c>
    </row>
    <row r="47" spans="3:8" ht="12.75">
      <c r="C47" s="9"/>
      <c r="D47" s="9"/>
      <c r="E47" s="9"/>
      <c r="F47" s="9"/>
      <c r="G47" s="9"/>
      <c r="H47" s="9"/>
    </row>
    <row r="51" spans="1:8" ht="12.75">
      <c r="A51" t="s">
        <v>30</v>
      </c>
      <c r="B51" s="1">
        <f>B33</f>
        <v>2017</v>
      </c>
      <c r="C51" s="1" t="str">
        <f aca="true" t="shared" si="7" ref="C51:H51">C33</f>
        <v>2018e</v>
      </c>
      <c r="D51" s="1" t="str">
        <f t="shared" si="7"/>
        <v>2019e</v>
      </c>
      <c r="E51" s="1" t="str">
        <f t="shared" si="7"/>
        <v>2020e</v>
      </c>
      <c r="F51" s="1" t="str">
        <f t="shared" si="7"/>
        <v>2021e</v>
      </c>
      <c r="G51" s="1" t="str">
        <f t="shared" si="7"/>
        <v>2022e</v>
      </c>
      <c r="H51" s="1" t="str">
        <f t="shared" si="7"/>
        <v>2023e</v>
      </c>
    </row>
    <row r="53" spans="1:8" ht="12.75">
      <c r="A53" t="s">
        <v>7</v>
      </c>
      <c r="B53" s="2">
        <v>0</v>
      </c>
      <c r="C53" s="3">
        <f aca="true" t="shared" si="8" ref="C53:H53">+C27</f>
        <v>-524.5</v>
      </c>
      <c r="D53" s="3">
        <f t="shared" si="8"/>
        <v>149</v>
      </c>
      <c r="E53" s="3">
        <f t="shared" si="8"/>
        <v>641.2884402566283</v>
      </c>
      <c r="F53" s="3">
        <f t="shared" si="8"/>
        <v>751.4134402566283</v>
      </c>
      <c r="G53" s="3">
        <f t="shared" si="8"/>
        <v>864.0184402566283</v>
      </c>
      <c r="H53" s="3">
        <f t="shared" si="8"/>
        <v>974</v>
      </c>
    </row>
    <row r="54" spans="2:8" ht="12.75">
      <c r="B54" s="4"/>
      <c r="C54" s="5"/>
      <c r="D54" s="5"/>
      <c r="E54" s="5"/>
      <c r="F54" s="5"/>
      <c r="G54" s="5"/>
      <c r="H54" s="5"/>
    </row>
    <row r="55" spans="1:8" ht="12.75">
      <c r="A55" t="s">
        <v>4</v>
      </c>
      <c r="B55" s="4">
        <v>0</v>
      </c>
      <c r="C55" s="5">
        <f aca="true" t="shared" si="9" ref="C55:H55">-C19</f>
        <v>1622</v>
      </c>
      <c r="D55" s="5">
        <f t="shared" si="9"/>
        <v>2163</v>
      </c>
      <c r="E55" s="5">
        <f t="shared" si="9"/>
        <v>2163</v>
      </c>
      <c r="F55" s="5">
        <f t="shared" si="9"/>
        <v>2163</v>
      </c>
      <c r="G55" s="5">
        <f t="shared" si="9"/>
        <v>2163</v>
      </c>
      <c r="H55" s="5">
        <f t="shared" si="9"/>
        <v>2163</v>
      </c>
    </row>
    <row r="56" spans="2:8" ht="12.75">
      <c r="B56" s="4"/>
      <c r="C56" s="5"/>
      <c r="D56" s="5"/>
      <c r="E56" s="5"/>
      <c r="F56" s="5"/>
      <c r="G56" s="5"/>
      <c r="H56" s="5"/>
    </row>
    <row r="57" spans="1:8" ht="12.75">
      <c r="A57" s="6" t="s">
        <v>14</v>
      </c>
      <c r="B57" s="7">
        <v>0</v>
      </c>
      <c r="C57" s="8">
        <f aca="true" t="shared" si="10" ref="C57:H57">+C55+C53</f>
        <v>1097.5</v>
      </c>
      <c r="D57" s="8">
        <f t="shared" si="10"/>
        <v>2312</v>
      </c>
      <c r="E57" s="8">
        <f t="shared" si="10"/>
        <v>2804.2884402566283</v>
      </c>
      <c r="F57" s="8">
        <f t="shared" si="10"/>
        <v>2914.4134402566283</v>
      </c>
      <c r="G57" s="8">
        <f t="shared" si="10"/>
        <v>3027.0184402566283</v>
      </c>
      <c r="H57" s="8">
        <f t="shared" si="10"/>
        <v>3137</v>
      </c>
    </row>
    <row r="58" spans="2:8" ht="12.75">
      <c r="B58" s="4"/>
      <c r="C58" s="5"/>
      <c r="D58" s="15"/>
      <c r="E58" s="5"/>
      <c r="F58" s="5"/>
      <c r="G58" s="5"/>
      <c r="H58" s="5"/>
    </row>
    <row r="59" spans="1:30" ht="12.75">
      <c r="A59" t="s">
        <v>31</v>
      </c>
      <c r="B59" s="4">
        <v>0</v>
      </c>
      <c r="C59" s="5">
        <f aca="true" t="shared" si="11" ref="C59:H59">C37-B37</f>
        <v>-85.1880513256648</v>
      </c>
      <c r="D59" s="5">
        <f t="shared" si="11"/>
        <v>-63.574285022565235</v>
      </c>
      <c r="E59" s="5">
        <f t="shared" si="11"/>
        <v>-20.172848549559575</v>
      </c>
      <c r="F59" s="5">
        <f t="shared" si="11"/>
        <v>-7.154901948612263</v>
      </c>
      <c r="G59" s="5">
        <f t="shared" si="11"/>
        <v>-7.5027096822253725</v>
      </c>
      <c r="H59" s="5">
        <f t="shared" si="11"/>
        <v>-6.0866353382292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8" ht="12.75">
      <c r="B60" s="4"/>
      <c r="C60" s="5"/>
      <c r="D60" s="16">
        <f>(D59-C59)/C59</f>
        <v>-0.25371828521434836</v>
      </c>
      <c r="E60" s="5"/>
      <c r="F60" s="5"/>
      <c r="G60" s="5"/>
      <c r="H60" s="5"/>
    </row>
    <row r="61" spans="1:8" ht="12.75">
      <c r="A61" s="6" t="s">
        <v>32</v>
      </c>
      <c r="B61" s="7">
        <v>0</v>
      </c>
      <c r="C61" s="8">
        <f aca="true" t="shared" si="12" ref="C61:H61">C57-C59</f>
        <v>1182.688051325665</v>
      </c>
      <c r="D61" s="8">
        <v>2375</v>
      </c>
      <c r="E61" s="8">
        <v>2825</v>
      </c>
      <c r="F61" s="8">
        <v>2921</v>
      </c>
      <c r="G61" s="8">
        <f t="shared" si="12"/>
        <v>3034.521149938854</v>
      </c>
      <c r="H61" s="8">
        <f t="shared" si="12"/>
        <v>3143.0866353382294</v>
      </c>
    </row>
    <row r="62" spans="2:8" ht="12.75">
      <c r="B62" s="4"/>
      <c r="C62" s="5"/>
      <c r="D62" s="5"/>
      <c r="E62" s="5"/>
      <c r="F62" s="5"/>
      <c r="G62" s="5"/>
      <c r="H62" s="5"/>
    </row>
    <row r="63" spans="1:8" ht="12.75">
      <c r="A63" t="s">
        <v>15</v>
      </c>
      <c r="B63" s="4">
        <f>B35</f>
        <v>28700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2:8" ht="12.75">
      <c r="B64" s="4"/>
      <c r="C64" s="5"/>
      <c r="D64" s="5"/>
      <c r="E64" s="5"/>
      <c r="F64" s="5"/>
      <c r="G64" s="5"/>
      <c r="H64" s="5"/>
    </row>
    <row r="65" spans="1:8" ht="12.75">
      <c r="A65" s="6" t="s">
        <v>33</v>
      </c>
      <c r="B65" s="7">
        <f>B61-B63</f>
        <v>-28700</v>
      </c>
      <c r="C65" s="8">
        <f aca="true" t="shared" si="13" ref="C65:H65">C61-C63</f>
        <v>1182.688051325665</v>
      </c>
      <c r="D65" s="8">
        <f t="shared" si="13"/>
        <v>2375</v>
      </c>
      <c r="E65" s="8">
        <f t="shared" si="13"/>
        <v>2825</v>
      </c>
      <c r="F65" s="8">
        <f t="shared" si="13"/>
        <v>2921</v>
      </c>
      <c r="G65" s="8">
        <f t="shared" si="13"/>
        <v>3034.521149938854</v>
      </c>
      <c r="H65" s="8">
        <f t="shared" si="13"/>
        <v>3143.0866353382294</v>
      </c>
    </row>
    <row r="66" spans="2:8" ht="12.75">
      <c r="B66" s="4"/>
      <c r="C66" s="5"/>
      <c r="D66" s="5"/>
      <c r="E66" s="5"/>
      <c r="F66" s="5"/>
      <c r="G66" s="5"/>
      <c r="H66" s="5"/>
    </row>
    <row r="67" spans="1:8" ht="25.5">
      <c r="A67" s="10" t="s">
        <v>34</v>
      </c>
      <c r="B67" s="7">
        <f aca="true" t="shared" si="14" ref="B67:H67">-B65</f>
        <v>28700</v>
      </c>
      <c r="C67" s="8">
        <f t="shared" si="14"/>
        <v>-1182.688051325665</v>
      </c>
      <c r="D67" s="8">
        <f t="shared" si="14"/>
        <v>-2375</v>
      </c>
      <c r="E67" s="8">
        <f t="shared" si="14"/>
        <v>-2825</v>
      </c>
      <c r="F67" s="8">
        <f t="shared" si="14"/>
        <v>-2921</v>
      </c>
      <c r="G67" s="8">
        <f t="shared" si="14"/>
        <v>-3034.521149938854</v>
      </c>
      <c r="H67" s="8">
        <f t="shared" si="14"/>
        <v>-3143.0866353382294</v>
      </c>
    </row>
    <row r="69" ht="12.75">
      <c r="D69" s="11"/>
    </row>
    <row r="71" spans="1:4" ht="12.75">
      <c r="A71" t="s">
        <v>35</v>
      </c>
      <c r="D71" s="11"/>
    </row>
    <row r="72" spans="1:2" ht="12.75">
      <c r="A72" t="s">
        <v>36</v>
      </c>
      <c r="B72" s="12">
        <v>0.005</v>
      </c>
    </row>
    <row r="73" ht="12.75">
      <c r="D73" s="11"/>
    </row>
    <row r="75" spans="1:4" ht="12.75">
      <c r="A75" t="s">
        <v>37</v>
      </c>
      <c r="D75" s="11"/>
    </row>
    <row r="77" spans="1:2" ht="15.75">
      <c r="A77" s="25" t="s">
        <v>38</v>
      </c>
      <c r="B77" s="22" t="s">
        <v>18</v>
      </c>
    </row>
    <row r="78" ht="12.75">
      <c r="B78" s="22"/>
    </row>
    <row r="79" spans="1:2" ht="12.75">
      <c r="A79" s="24" t="s">
        <v>57</v>
      </c>
      <c r="B79" s="22"/>
    </row>
    <row r="80" spans="1:2" ht="12.75">
      <c r="A80" t="s">
        <v>45</v>
      </c>
      <c r="B80" s="14">
        <v>0.25</v>
      </c>
    </row>
    <row r="81" spans="1:2" ht="12.75">
      <c r="A81" t="s">
        <v>58</v>
      </c>
      <c r="B81" s="14">
        <v>0.06</v>
      </c>
    </row>
    <row r="83" spans="1:30" ht="12.75">
      <c r="A83" s="24" t="s">
        <v>44</v>
      </c>
      <c r="B83" s="24">
        <v>2017</v>
      </c>
      <c r="C83" s="24">
        <v>2018</v>
      </c>
      <c r="D83" s="24">
        <v>2019</v>
      </c>
      <c r="E83" s="24">
        <v>2020</v>
      </c>
      <c r="F83" s="24">
        <v>2021</v>
      </c>
      <c r="G83" s="24">
        <v>2022</v>
      </c>
      <c r="H83" s="24">
        <v>2023</v>
      </c>
      <c r="I83" s="24">
        <v>2024</v>
      </c>
      <c r="J83" s="24">
        <v>2025</v>
      </c>
      <c r="K83" s="24">
        <v>2026</v>
      </c>
      <c r="L83" s="24">
        <v>2027</v>
      </c>
      <c r="M83" s="24">
        <v>2028</v>
      </c>
      <c r="N83" s="24">
        <v>2029</v>
      </c>
      <c r="O83" s="24">
        <v>2030</v>
      </c>
      <c r="P83" s="24">
        <v>2031</v>
      </c>
      <c r="Q83" s="24">
        <v>2032</v>
      </c>
      <c r="R83" s="24">
        <v>2033</v>
      </c>
      <c r="S83" s="24">
        <v>2034</v>
      </c>
      <c r="T83" s="24">
        <v>2035</v>
      </c>
      <c r="U83" s="24">
        <v>2036</v>
      </c>
      <c r="V83" s="24">
        <v>2037</v>
      </c>
      <c r="W83" s="24">
        <v>2038</v>
      </c>
      <c r="X83" s="24">
        <v>2039</v>
      </c>
      <c r="Y83" s="24">
        <v>2040</v>
      </c>
      <c r="Z83" s="24">
        <v>2041</v>
      </c>
      <c r="AA83" s="24">
        <v>2042</v>
      </c>
      <c r="AB83" s="24">
        <v>2043</v>
      </c>
      <c r="AC83" s="24">
        <v>2044</v>
      </c>
      <c r="AD83" s="24">
        <v>2045</v>
      </c>
    </row>
    <row r="84" ht="6.75" customHeight="1">
      <c r="A84" s="6"/>
    </row>
    <row r="85" spans="1:29" ht="12.75">
      <c r="A85" t="s">
        <v>9</v>
      </c>
      <c r="B85" s="9">
        <f aca="true" t="shared" si="15" ref="B85:H85">B37</f>
        <v>0</v>
      </c>
      <c r="C85" s="9">
        <f t="shared" si="15"/>
        <v>-85.1880513256648</v>
      </c>
      <c r="D85" s="9">
        <f t="shared" si="15"/>
        <v>-148.76233634823004</v>
      </c>
      <c r="E85" s="9">
        <f t="shared" si="15"/>
        <v>-168.9351848977896</v>
      </c>
      <c r="F85" s="9">
        <f t="shared" si="15"/>
        <v>-176.09008684640187</v>
      </c>
      <c r="G85" s="9">
        <f t="shared" si="15"/>
        <v>-183.59279652862725</v>
      </c>
      <c r="H85" s="9">
        <f t="shared" si="15"/>
        <v>-189.67943186685645</v>
      </c>
      <c r="I85" s="9">
        <f>H85*1.01</f>
        <v>-191.576226185525</v>
      </c>
      <c r="J85" s="9">
        <f aca="true" t="shared" si="16" ref="J85:AC85">I85*1.01</f>
        <v>-193.49198844738027</v>
      </c>
      <c r="K85" s="9">
        <f t="shared" si="16"/>
        <v>-195.42690833185407</v>
      </c>
      <c r="L85" s="9">
        <f t="shared" si="16"/>
        <v>-197.3811774151726</v>
      </c>
      <c r="M85" s="9">
        <f t="shared" si="16"/>
        <v>-199.35498918932433</v>
      </c>
      <c r="N85" s="9">
        <f t="shared" si="16"/>
        <v>-201.34853908121758</v>
      </c>
      <c r="O85" s="9">
        <f t="shared" si="16"/>
        <v>-203.36202447202976</v>
      </c>
      <c r="P85" s="9">
        <f t="shared" si="16"/>
        <v>-205.39564471675007</v>
      </c>
      <c r="Q85" s="9">
        <f t="shared" si="16"/>
        <v>-207.44960116391758</v>
      </c>
      <c r="R85" s="9">
        <f t="shared" si="16"/>
        <v>-209.52409717555676</v>
      </c>
      <c r="S85" s="9">
        <f t="shared" si="16"/>
        <v>-211.61933814731233</v>
      </c>
      <c r="T85" s="9">
        <f t="shared" si="16"/>
        <v>-213.73553152878546</v>
      </c>
      <c r="U85" s="9">
        <f t="shared" si="16"/>
        <v>-215.87288684407332</v>
      </c>
      <c r="V85" s="9">
        <f t="shared" si="16"/>
        <v>-218.03161571251405</v>
      </c>
      <c r="W85" s="9">
        <f t="shared" si="16"/>
        <v>-220.2119318696392</v>
      </c>
      <c r="X85" s="9">
        <f t="shared" si="16"/>
        <v>-222.41405118833558</v>
      </c>
      <c r="Y85" s="9">
        <f t="shared" si="16"/>
        <v>-224.63819170021893</v>
      </c>
      <c r="Z85" s="9">
        <f t="shared" si="16"/>
        <v>-226.88457361722112</v>
      </c>
      <c r="AA85" s="9">
        <f t="shared" si="16"/>
        <v>-229.15341935339333</v>
      </c>
      <c r="AB85" s="9">
        <f t="shared" si="16"/>
        <v>-231.44495354692728</v>
      </c>
      <c r="AC85" s="9">
        <f t="shared" si="16"/>
        <v>-233.75940308239655</v>
      </c>
    </row>
    <row r="86" spans="1:29" ht="12.75">
      <c r="A86" s="6" t="s">
        <v>39</v>
      </c>
      <c r="C86" s="9">
        <f aca="true" t="shared" si="17" ref="C86:H86">C17</f>
        <v>1066</v>
      </c>
      <c r="D86" s="9">
        <f t="shared" si="17"/>
        <v>2499</v>
      </c>
      <c r="E86" s="9">
        <f t="shared" si="17"/>
        <v>3144</v>
      </c>
      <c r="F86" s="9">
        <f t="shared" si="17"/>
        <v>3276</v>
      </c>
      <c r="G86" s="9">
        <f t="shared" si="17"/>
        <v>3412</v>
      </c>
      <c r="H86" s="9">
        <f t="shared" si="17"/>
        <v>3543</v>
      </c>
      <c r="I86" s="9">
        <f>H86*1.01</f>
        <v>3578.43</v>
      </c>
      <c r="J86" s="9">
        <f aca="true" t="shared" si="18" ref="J86:AC86">I86*1.01</f>
        <v>3614.2142999999996</v>
      </c>
      <c r="K86" s="9">
        <f t="shared" si="18"/>
        <v>3650.3564429999997</v>
      </c>
      <c r="L86" s="9">
        <f t="shared" si="18"/>
        <v>3686.8600074299998</v>
      </c>
      <c r="M86" s="9">
        <f t="shared" si="18"/>
        <v>3723.7286075043</v>
      </c>
      <c r="N86" s="9">
        <f t="shared" si="18"/>
        <v>3760.9658935793427</v>
      </c>
      <c r="O86" s="9">
        <f t="shared" si="18"/>
        <v>3798.575552515136</v>
      </c>
      <c r="P86" s="9">
        <f t="shared" si="18"/>
        <v>3836.5613080402877</v>
      </c>
      <c r="Q86" s="9">
        <f t="shared" si="18"/>
        <v>3874.9269211206906</v>
      </c>
      <c r="R86" s="9">
        <f t="shared" si="18"/>
        <v>3913.6761903318975</v>
      </c>
      <c r="S86" s="9">
        <f t="shared" si="18"/>
        <v>3952.8129522352165</v>
      </c>
      <c r="T86" s="9">
        <f t="shared" si="18"/>
        <v>3992.3410817575686</v>
      </c>
      <c r="U86" s="9">
        <f t="shared" si="18"/>
        <v>4032.2644925751442</v>
      </c>
      <c r="V86" s="9">
        <f t="shared" si="18"/>
        <v>4072.5871375008956</v>
      </c>
      <c r="W86" s="9">
        <f t="shared" si="18"/>
        <v>4113.313008875904</v>
      </c>
      <c r="X86" s="9">
        <f t="shared" si="18"/>
        <v>4154.446138964663</v>
      </c>
      <c r="Y86" s="9">
        <f t="shared" si="18"/>
        <v>4195.99060035431</v>
      </c>
      <c r="Z86" s="9">
        <f t="shared" si="18"/>
        <v>4237.950506357854</v>
      </c>
      <c r="AA86" s="9">
        <f t="shared" si="18"/>
        <v>4280.330011421433</v>
      </c>
      <c r="AB86" s="9">
        <f t="shared" si="18"/>
        <v>4323.1333115356465</v>
      </c>
      <c r="AC86" s="9">
        <f t="shared" si="18"/>
        <v>4366.364644651003</v>
      </c>
    </row>
    <row r="87" spans="1:16" ht="12.75">
      <c r="A87" s="23" t="s">
        <v>55</v>
      </c>
      <c r="C87" s="9">
        <f aca="true" t="shared" si="19" ref="C87:H87">-C19</f>
        <v>1622</v>
      </c>
      <c r="D87" s="9">
        <f t="shared" si="19"/>
        <v>2163</v>
      </c>
      <c r="E87" s="9">
        <f t="shared" si="19"/>
        <v>2163</v>
      </c>
      <c r="F87" s="9">
        <f t="shared" si="19"/>
        <v>2163</v>
      </c>
      <c r="G87" s="9">
        <f t="shared" si="19"/>
        <v>2163</v>
      </c>
      <c r="H87" s="9">
        <f t="shared" si="19"/>
        <v>2163</v>
      </c>
      <c r="I87" s="9">
        <f>H87</f>
        <v>2163</v>
      </c>
      <c r="J87" s="9">
        <f aca="true" t="shared" si="20" ref="J87:O87">I87</f>
        <v>2163</v>
      </c>
      <c r="K87" s="9">
        <f t="shared" si="20"/>
        <v>2163</v>
      </c>
      <c r="L87" s="9">
        <f t="shared" si="20"/>
        <v>2163</v>
      </c>
      <c r="M87" s="9">
        <f t="shared" si="20"/>
        <v>2163</v>
      </c>
      <c r="N87" s="9">
        <f t="shared" si="20"/>
        <v>2163</v>
      </c>
      <c r="O87" s="9">
        <f t="shared" si="20"/>
        <v>2163</v>
      </c>
      <c r="P87" s="9">
        <f>B91-SUM(C87:O87)</f>
        <v>1122</v>
      </c>
    </row>
    <row r="88" spans="1:29" ht="12.75">
      <c r="A88" s="23" t="s">
        <v>56</v>
      </c>
      <c r="B88" s="9">
        <f>B21</f>
        <v>0</v>
      </c>
      <c r="C88" s="9">
        <f aca="true" t="shared" si="21" ref="C88:AC88">C86-C87</f>
        <v>-556</v>
      </c>
      <c r="D88" s="9">
        <f t="shared" si="21"/>
        <v>336</v>
      </c>
      <c r="E88" s="9">
        <f t="shared" si="21"/>
        <v>981</v>
      </c>
      <c r="F88" s="9">
        <f t="shared" si="21"/>
        <v>1113</v>
      </c>
      <c r="G88" s="9">
        <f t="shared" si="21"/>
        <v>1249</v>
      </c>
      <c r="H88" s="9">
        <f t="shared" si="21"/>
        <v>1380</v>
      </c>
      <c r="I88" s="9">
        <f t="shared" si="21"/>
        <v>1415.4299999999998</v>
      </c>
      <c r="J88" s="9">
        <f t="shared" si="21"/>
        <v>1451.2142999999996</v>
      </c>
      <c r="K88" s="9">
        <f t="shared" si="21"/>
        <v>1487.3564429999997</v>
      </c>
      <c r="L88" s="9">
        <f t="shared" si="21"/>
        <v>1523.8600074299998</v>
      </c>
      <c r="M88" s="9">
        <f t="shared" si="21"/>
        <v>1560.7286075042998</v>
      </c>
      <c r="N88" s="9">
        <f t="shared" si="21"/>
        <v>1597.9658935793427</v>
      </c>
      <c r="O88" s="9">
        <f t="shared" si="21"/>
        <v>1635.5755525151362</v>
      </c>
      <c r="P88" s="9">
        <f t="shared" si="21"/>
        <v>2714.5613080402877</v>
      </c>
      <c r="Q88" s="9">
        <f t="shared" si="21"/>
        <v>3874.9269211206906</v>
      </c>
      <c r="R88" s="9">
        <f t="shared" si="21"/>
        <v>3913.6761903318975</v>
      </c>
      <c r="S88" s="9">
        <f t="shared" si="21"/>
        <v>3952.8129522352165</v>
      </c>
      <c r="T88" s="9">
        <f t="shared" si="21"/>
        <v>3992.3410817575686</v>
      </c>
      <c r="U88" s="9">
        <f t="shared" si="21"/>
        <v>4032.2644925751442</v>
      </c>
      <c r="V88" s="9">
        <f t="shared" si="21"/>
        <v>4072.5871375008956</v>
      </c>
      <c r="W88" s="9">
        <f t="shared" si="21"/>
        <v>4113.313008875904</v>
      </c>
      <c r="X88" s="9">
        <f t="shared" si="21"/>
        <v>4154.446138964663</v>
      </c>
      <c r="Y88" s="9">
        <f t="shared" si="21"/>
        <v>4195.99060035431</v>
      </c>
      <c r="Z88" s="9">
        <f t="shared" si="21"/>
        <v>4237.950506357854</v>
      </c>
      <c r="AA88" s="9">
        <f t="shared" si="21"/>
        <v>4280.330011421433</v>
      </c>
      <c r="AB88" s="9">
        <f t="shared" si="21"/>
        <v>4323.1333115356465</v>
      </c>
      <c r="AC88" s="9">
        <f t="shared" si="21"/>
        <v>4366.364644651003</v>
      </c>
    </row>
    <row r="89" spans="1:16" ht="12.75">
      <c r="A89" s="23" t="s">
        <v>40</v>
      </c>
      <c r="B89" s="9">
        <f>B19</f>
        <v>0</v>
      </c>
      <c r="C89" s="9">
        <f>C87</f>
        <v>1622</v>
      </c>
      <c r="D89" s="9">
        <f aca="true" t="shared" si="22" ref="D89:P89">D87</f>
        <v>2163</v>
      </c>
      <c r="E89" s="9">
        <f t="shared" si="22"/>
        <v>2163</v>
      </c>
      <c r="F89" s="9">
        <f t="shared" si="22"/>
        <v>2163</v>
      </c>
      <c r="G89" s="9">
        <f t="shared" si="22"/>
        <v>2163</v>
      </c>
      <c r="H89" s="9">
        <f t="shared" si="22"/>
        <v>2163</v>
      </c>
      <c r="I89" s="9">
        <f t="shared" si="22"/>
        <v>2163</v>
      </c>
      <c r="J89" s="9">
        <f t="shared" si="22"/>
        <v>2163</v>
      </c>
      <c r="K89" s="9">
        <f t="shared" si="22"/>
        <v>2163</v>
      </c>
      <c r="L89" s="9">
        <f t="shared" si="22"/>
        <v>2163</v>
      </c>
      <c r="M89" s="9">
        <f t="shared" si="22"/>
        <v>2163</v>
      </c>
      <c r="N89" s="9">
        <f t="shared" si="22"/>
        <v>2163</v>
      </c>
      <c r="O89" s="9">
        <f t="shared" si="22"/>
        <v>2163</v>
      </c>
      <c r="P89" s="9">
        <f t="shared" si="22"/>
        <v>1122</v>
      </c>
    </row>
    <row r="90" spans="1:30" ht="12.75">
      <c r="A90" s="23" t="s">
        <v>41</v>
      </c>
      <c r="C90" s="9">
        <f aca="true" t="shared" si="23" ref="C90:L90">C85-B85</f>
        <v>-85.1880513256648</v>
      </c>
      <c r="D90" s="9">
        <f t="shared" si="23"/>
        <v>-63.574285022565235</v>
      </c>
      <c r="E90" s="9">
        <f t="shared" si="23"/>
        <v>-20.172848549559575</v>
      </c>
      <c r="F90" s="9">
        <f t="shared" si="23"/>
        <v>-7.154901948612263</v>
      </c>
      <c r="G90" s="9">
        <f t="shared" si="23"/>
        <v>-7.5027096822253725</v>
      </c>
      <c r="H90" s="9">
        <f t="shared" si="23"/>
        <v>-6.0866353382292</v>
      </c>
      <c r="I90" s="9">
        <f t="shared" si="23"/>
        <v>-1.8967943186685545</v>
      </c>
      <c r="J90" s="9">
        <f t="shared" si="23"/>
        <v>-1.9157622618552637</v>
      </c>
      <c r="K90" s="9">
        <f t="shared" si="23"/>
        <v>-1.9349198844737998</v>
      </c>
      <c r="L90" s="9">
        <f t="shared" si="23"/>
        <v>-1.954269083318536</v>
      </c>
      <c r="M90" s="9">
        <f aca="true" t="shared" si="24" ref="M90:AC90">M85-L85</f>
        <v>-1.9738117741517271</v>
      </c>
      <c r="N90" s="9">
        <f t="shared" si="24"/>
        <v>-1.9935498918932524</v>
      </c>
      <c r="O90" s="9">
        <f t="shared" si="24"/>
        <v>-2.0134853908121784</v>
      </c>
      <c r="P90" s="9">
        <f t="shared" si="24"/>
        <v>-2.0336202447203107</v>
      </c>
      <c r="Q90" s="9">
        <f t="shared" si="24"/>
        <v>-2.053956447167508</v>
      </c>
      <c r="R90" s="9">
        <f t="shared" si="24"/>
        <v>-2.0744960116391837</v>
      </c>
      <c r="S90" s="9">
        <f t="shared" si="24"/>
        <v>-2.0952409717555724</v>
      </c>
      <c r="T90" s="9">
        <f t="shared" si="24"/>
        <v>-2.116193381473124</v>
      </c>
      <c r="U90" s="9">
        <f t="shared" si="24"/>
        <v>-2.137355315287863</v>
      </c>
      <c r="V90" s="9">
        <f t="shared" si="24"/>
        <v>-2.1587288684407326</v>
      </c>
      <c r="W90" s="9">
        <f t="shared" si="24"/>
        <v>-2.1803161571251337</v>
      </c>
      <c r="X90" s="9">
        <f t="shared" si="24"/>
        <v>-2.20211931869639</v>
      </c>
      <c r="Y90" s="9">
        <f t="shared" si="24"/>
        <v>-2.2241405118833484</v>
      </c>
      <c r="Z90" s="9">
        <f t="shared" si="24"/>
        <v>-2.2463819170021964</v>
      </c>
      <c r="AA90" s="9">
        <f t="shared" si="24"/>
        <v>-2.26884573617221</v>
      </c>
      <c r="AB90" s="9">
        <f t="shared" si="24"/>
        <v>-2.2915341935339484</v>
      </c>
      <c r="AC90" s="9">
        <f t="shared" si="24"/>
        <v>-2.314449535469265</v>
      </c>
      <c r="AD90" s="9">
        <f>-SUM(C90:AC90)</f>
        <v>233.75940308239655</v>
      </c>
    </row>
    <row r="91" spans="1:2" ht="12.75">
      <c r="A91" s="23" t="s">
        <v>42</v>
      </c>
      <c r="B91" s="9">
        <f>B63</f>
        <v>28700</v>
      </c>
    </row>
    <row r="92" spans="1:29" ht="12.75">
      <c r="A92" s="23" t="s">
        <v>43</v>
      </c>
      <c r="C92">
        <f aca="true" t="shared" si="25" ref="C92:AC92">$B$80*C88</f>
        <v>-139</v>
      </c>
      <c r="D92">
        <f t="shared" si="25"/>
        <v>84</v>
      </c>
      <c r="E92">
        <f t="shared" si="25"/>
        <v>245.25</v>
      </c>
      <c r="F92">
        <f t="shared" si="25"/>
        <v>278.25</v>
      </c>
      <c r="G92">
        <f t="shared" si="25"/>
        <v>312.25</v>
      </c>
      <c r="H92">
        <f t="shared" si="25"/>
        <v>345</v>
      </c>
      <c r="I92">
        <f t="shared" si="25"/>
        <v>353.85749999999996</v>
      </c>
      <c r="J92">
        <f t="shared" si="25"/>
        <v>362.8035749999999</v>
      </c>
      <c r="K92">
        <f t="shared" si="25"/>
        <v>371.8391107499999</v>
      </c>
      <c r="L92">
        <f t="shared" si="25"/>
        <v>380.96500185749994</v>
      </c>
      <c r="M92">
        <f t="shared" si="25"/>
        <v>390.18215187607495</v>
      </c>
      <c r="N92">
        <f t="shared" si="25"/>
        <v>399.4914733948357</v>
      </c>
      <c r="O92">
        <f t="shared" si="25"/>
        <v>408.89388812878406</v>
      </c>
      <c r="P92">
        <f t="shared" si="25"/>
        <v>678.6403270100719</v>
      </c>
      <c r="Q92">
        <f t="shared" si="25"/>
        <v>968.7317302801727</v>
      </c>
      <c r="R92">
        <f t="shared" si="25"/>
        <v>978.4190475829744</v>
      </c>
      <c r="S92">
        <f t="shared" si="25"/>
        <v>988.2032380588041</v>
      </c>
      <c r="T92">
        <f t="shared" si="25"/>
        <v>998.0852704393922</v>
      </c>
      <c r="U92">
        <f t="shared" si="25"/>
        <v>1008.0661231437861</v>
      </c>
      <c r="V92">
        <f t="shared" si="25"/>
        <v>1018.1467843752239</v>
      </c>
      <c r="W92">
        <f t="shared" si="25"/>
        <v>1028.328252218976</v>
      </c>
      <c r="X92">
        <f t="shared" si="25"/>
        <v>1038.6115347411658</v>
      </c>
      <c r="Y92">
        <f t="shared" si="25"/>
        <v>1048.9976500885775</v>
      </c>
      <c r="Z92">
        <f t="shared" si="25"/>
        <v>1059.4876265894634</v>
      </c>
      <c r="AA92">
        <f t="shared" si="25"/>
        <v>1070.0825028553581</v>
      </c>
      <c r="AB92">
        <f t="shared" si="25"/>
        <v>1080.7833278839116</v>
      </c>
      <c r="AC92">
        <f t="shared" si="25"/>
        <v>1091.5911611627507</v>
      </c>
    </row>
    <row r="93" spans="1:30" ht="12.75">
      <c r="A93" s="23" t="s">
        <v>46</v>
      </c>
      <c r="B93" s="9">
        <f aca="true" t="shared" si="26" ref="B93:AD93">B88+B89-B90-B91-B92</f>
        <v>-28700</v>
      </c>
      <c r="C93" s="9">
        <f t="shared" si="26"/>
        <v>1290.188051325665</v>
      </c>
      <c r="D93" s="9">
        <f t="shared" si="26"/>
        <v>2478.574285022565</v>
      </c>
      <c r="E93" s="9">
        <f t="shared" si="26"/>
        <v>2918.9228485495596</v>
      </c>
      <c r="F93" s="18">
        <f t="shared" si="26"/>
        <v>3004.9049019486124</v>
      </c>
      <c r="G93" s="9">
        <f t="shared" si="26"/>
        <v>3107.2527096822255</v>
      </c>
      <c r="H93" s="9">
        <f t="shared" si="26"/>
        <v>3204.0866353382294</v>
      </c>
      <c r="I93" s="9">
        <f t="shared" si="26"/>
        <v>3226.4692943186683</v>
      </c>
      <c r="J93" s="9">
        <f t="shared" si="26"/>
        <v>3253.326487261855</v>
      </c>
      <c r="K93" s="9">
        <f t="shared" si="26"/>
        <v>3280.4522521344734</v>
      </c>
      <c r="L93" s="9">
        <f t="shared" si="26"/>
        <v>3307.8492746558186</v>
      </c>
      <c r="M93" s="9">
        <f t="shared" si="26"/>
        <v>3335.5202674023767</v>
      </c>
      <c r="N93" s="9">
        <f t="shared" si="26"/>
        <v>3363.4679700764</v>
      </c>
      <c r="O93" s="9">
        <f t="shared" si="26"/>
        <v>3391.6951497771643</v>
      </c>
      <c r="P93" s="9">
        <f t="shared" si="26"/>
        <v>3159.954601274936</v>
      </c>
      <c r="Q93" s="9">
        <f t="shared" si="26"/>
        <v>2908.2491472876854</v>
      </c>
      <c r="R93" s="9">
        <f t="shared" si="26"/>
        <v>2937.331638760562</v>
      </c>
      <c r="S93" s="9">
        <f t="shared" si="26"/>
        <v>2966.7049551481678</v>
      </c>
      <c r="T93" s="9">
        <f t="shared" si="26"/>
        <v>2996.3720046996496</v>
      </c>
      <c r="U93" s="9">
        <f t="shared" si="26"/>
        <v>3026.335724746646</v>
      </c>
      <c r="V93" s="18">
        <f t="shared" si="26"/>
        <v>3056.5990819941126</v>
      </c>
      <c r="W93" s="9">
        <f t="shared" si="26"/>
        <v>3087.1650728140535</v>
      </c>
      <c r="X93" s="9">
        <f t="shared" si="26"/>
        <v>3118.0367235421936</v>
      </c>
      <c r="Y93" s="9">
        <f t="shared" si="26"/>
        <v>3149.2170907776153</v>
      </c>
      <c r="Z93" s="9">
        <f t="shared" si="26"/>
        <v>3180.7092616853924</v>
      </c>
      <c r="AA93" s="9">
        <f t="shared" si="26"/>
        <v>3212.5163543022463</v>
      </c>
      <c r="AB93" s="9">
        <f t="shared" si="26"/>
        <v>3244.641517845269</v>
      </c>
      <c r="AC93" s="9">
        <f t="shared" si="26"/>
        <v>3277.0879330237212</v>
      </c>
      <c r="AD93" s="9">
        <f t="shared" si="26"/>
        <v>-233.75940308239655</v>
      </c>
    </row>
    <row r="94" spans="1:30" ht="6.75" customHeight="1">
      <c r="A94" s="2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2.75">
      <c r="A95" s="6" t="s">
        <v>47</v>
      </c>
      <c r="B95" s="9">
        <f aca="true" t="shared" si="27" ref="B95:AD95">B93/((1+$B$81)^(B83-$B$83))</f>
        <v>-28700</v>
      </c>
      <c r="C95" s="9">
        <f t="shared" si="27"/>
        <v>1217.1585389864763</v>
      </c>
      <c r="D95" s="9">
        <f t="shared" si="27"/>
        <v>2205.922289980923</v>
      </c>
      <c r="E95" s="9">
        <f t="shared" si="27"/>
        <v>2450.783909325785</v>
      </c>
      <c r="F95" s="9">
        <f t="shared" si="27"/>
        <v>2380.166131466361</v>
      </c>
      <c r="G95" s="9">
        <f t="shared" si="27"/>
        <v>2321.919982470244</v>
      </c>
      <c r="H95" s="9">
        <f t="shared" si="27"/>
        <v>2258.754646063582</v>
      </c>
      <c r="I95" s="9">
        <f t="shared" si="27"/>
        <v>2145.7863560706687</v>
      </c>
      <c r="J95" s="9">
        <f t="shared" si="27"/>
        <v>2041.177286122135</v>
      </c>
      <c r="K95" s="9">
        <f t="shared" si="27"/>
        <v>1941.694647722005</v>
      </c>
      <c r="L95" s="9">
        <f t="shared" si="27"/>
        <v>1847.0857577902702</v>
      </c>
      <c r="M95" s="9">
        <f t="shared" si="27"/>
        <v>1757.1104675584945</v>
      </c>
      <c r="N95" s="9">
        <f t="shared" si="27"/>
        <v>1671.5405365004942</v>
      </c>
      <c r="O95" s="9">
        <f t="shared" si="27"/>
        <v>1590.1590377659968</v>
      </c>
      <c r="P95" s="9">
        <f t="shared" si="27"/>
        <v>1397.650967539889</v>
      </c>
      <c r="Q95" s="9">
        <f t="shared" si="27"/>
        <v>1213.5107570770795</v>
      </c>
      <c r="R95" s="9">
        <f t="shared" si="27"/>
        <v>1156.2696836300477</v>
      </c>
      <c r="S95" s="9">
        <f t="shared" si="27"/>
        <v>1101.7286608173094</v>
      </c>
      <c r="T95" s="9">
        <f t="shared" si="27"/>
        <v>1049.7603277598892</v>
      </c>
      <c r="U95" s="9">
        <f t="shared" si="27"/>
        <v>1000.2433311674415</v>
      </c>
      <c r="V95" s="9">
        <f t="shared" si="27"/>
        <v>953.0620419614302</v>
      </c>
      <c r="W95" s="9">
        <f t="shared" si="27"/>
        <v>908.1062852651361</v>
      </c>
      <c r="X95" s="9">
        <f t="shared" si="27"/>
        <v>865.271083129988</v>
      </c>
      <c r="Y95" s="9">
        <f t="shared" si="27"/>
        <v>824.4564093974412</v>
      </c>
      <c r="Z95" s="9">
        <f t="shared" si="27"/>
        <v>785.5669561239773</v>
      </c>
      <c r="AA95" s="9">
        <f t="shared" si="27"/>
        <v>748.5119110237897</v>
      </c>
      <c r="AB95" s="9">
        <f t="shared" si="27"/>
        <v>713.2047454094601</v>
      </c>
      <c r="AC95" s="9">
        <f t="shared" si="27"/>
        <v>679.5630121354287</v>
      </c>
      <c r="AD95" s="9">
        <f t="shared" si="27"/>
        <v>-45.730385473920094</v>
      </c>
    </row>
    <row r="96" ht="9" customHeight="1"/>
    <row r="97" spans="1:3" ht="12.75">
      <c r="A97" t="s">
        <v>48</v>
      </c>
      <c r="B97" s="18">
        <f>NPV(B81,C93:AD93)+B93</f>
        <v>10480.435374787827</v>
      </c>
      <c r="C97" s="26">
        <f>SUM(B95:AD95)</f>
        <v>10480.435374787827</v>
      </c>
    </row>
    <row r="98" spans="1:12" ht="12.75">
      <c r="A98" t="s">
        <v>49</v>
      </c>
      <c r="B98" s="20">
        <f>IRR(B93:AD93)</f>
        <v>0.09210874753306886</v>
      </c>
      <c r="L98" s="21"/>
    </row>
    <row r="99" spans="2:12" ht="12.75">
      <c r="B99" s="17"/>
      <c r="L99" s="9">
        <f>-$B$93-K100</f>
        <v>2796.8225344181446</v>
      </c>
    </row>
    <row r="100" spans="1:16" ht="12.75">
      <c r="A100" t="s">
        <v>51</v>
      </c>
      <c r="C100" s="9">
        <f>SUM($C$93:C93)+139</f>
        <v>1429.188051325665</v>
      </c>
      <c r="D100" s="9">
        <f>C100+D93</f>
        <v>3907.76233634823</v>
      </c>
      <c r="E100" s="9">
        <f aca="true" t="shared" si="28" ref="E100:M100">D100+E93</f>
        <v>6826.685184897789</v>
      </c>
      <c r="F100" s="9">
        <f t="shared" si="28"/>
        <v>9831.590086846401</v>
      </c>
      <c r="G100" s="9">
        <f t="shared" si="28"/>
        <v>12938.842796528626</v>
      </c>
      <c r="H100" s="9">
        <f t="shared" si="28"/>
        <v>16142.929431866856</v>
      </c>
      <c r="I100" s="9">
        <f t="shared" si="28"/>
        <v>19369.398726185525</v>
      </c>
      <c r="J100" s="9">
        <f t="shared" si="28"/>
        <v>22622.725213447382</v>
      </c>
      <c r="K100" s="9">
        <f t="shared" si="28"/>
        <v>25903.177465581855</v>
      </c>
      <c r="L100" s="9">
        <f t="shared" si="28"/>
        <v>29211.026740237674</v>
      </c>
      <c r="M100" s="9"/>
      <c r="P100" s="16"/>
    </row>
    <row r="101" spans="1:16" ht="12.75">
      <c r="A101" t="s">
        <v>50</v>
      </c>
      <c r="C101">
        <v>12</v>
      </c>
      <c r="D101">
        <f>C101+12</f>
        <v>24</v>
      </c>
      <c r="E101">
        <f aca="true" t="shared" si="29" ref="E101:K101">D101+12</f>
        <v>36</v>
      </c>
      <c r="F101">
        <f t="shared" si="29"/>
        <v>48</v>
      </c>
      <c r="G101">
        <f t="shared" si="29"/>
        <v>60</v>
      </c>
      <c r="H101">
        <f t="shared" si="29"/>
        <v>72</v>
      </c>
      <c r="I101">
        <f t="shared" si="29"/>
        <v>84</v>
      </c>
      <c r="J101">
        <f t="shared" si="29"/>
        <v>96</v>
      </c>
      <c r="K101">
        <f t="shared" si="29"/>
        <v>108</v>
      </c>
      <c r="L101" s="13">
        <f>ROUNDUP(K101+L99*12/L93,0)</f>
        <v>119</v>
      </c>
      <c r="M101" s="9"/>
      <c r="P101" s="16"/>
    </row>
    <row r="102" spans="1:13" ht="12.75">
      <c r="A102" t="s">
        <v>52</v>
      </c>
      <c r="B102" s="19">
        <f>L101</f>
        <v>119</v>
      </c>
      <c r="M102" s="27"/>
    </row>
    <row r="103" ht="12.75">
      <c r="O103" s="9">
        <f>-$B$93-N104</f>
        <v>4460.899449942561</v>
      </c>
    </row>
    <row r="104" spans="1:23" ht="12.75">
      <c r="A104" t="s">
        <v>53</v>
      </c>
      <c r="C104" s="9">
        <f>SUM($C$95:C95)</f>
        <v>1217.1585389864763</v>
      </c>
      <c r="D104" s="9">
        <f>SUM($C$95:D95)</f>
        <v>3423.080828967399</v>
      </c>
      <c r="E104" s="9">
        <f>SUM($C$95:E95)</f>
        <v>5873.864738293184</v>
      </c>
      <c r="F104" s="9">
        <f>SUM($C$95:F95)</f>
        <v>8254.030869759545</v>
      </c>
      <c r="G104" s="9">
        <f>SUM($C$95:G95)</f>
        <v>10575.95085222979</v>
      </c>
      <c r="H104" s="9">
        <f>SUM($C$95:H95)</f>
        <v>12834.705498293371</v>
      </c>
      <c r="I104" s="9">
        <f>SUM($C$95:I95)</f>
        <v>14980.49185436404</v>
      </c>
      <c r="J104" s="9">
        <f>SUM($C$95:J95)</f>
        <v>17021.669140486174</v>
      </c>
      <c r="K104" s="9">
        <f>SUM($C$95:K95)</f>
        <v>18963.36378820818</v>
      </c>
      <c r="L104" s="9">
        <f>SUM($C$95:L95)</f>
        <v>20810.44954599845</v>
      </c>
      <c r="M104" s="9">
        <f>SUM($C$95:M95)</f>
        <v>22567.560013556944</v>
      </c>
      <c r="N104" s="9">
        <f>SUM($C$95:N95)</f>
        <v>24239.10055005744</v>
      </c>
      <c r="O104" s="9">
        <f>SUM($C$95:O95)</f>
        <v>25829.259587823435</v>
      </c>
      <c r="P104" s="9"/>
      <c r="W104" s="9"/>
    </row>
    <row r="105" spans="1:16" ht="12.75">
      <c r="A105" t="s">
        <v>50</v>
      </c>
      <c r="C105">
        <v>12</v>
      </c>
      <c r="D105">
        <f>C105+12</f>
        <v>24</v>
      </c>
      <c r="E105">
        <f aca="true" t="shared" si="30" ref="E105:N105">D105+12</f>
        <v>36</v>
      </c>
      <c r="F105">
        <f t="shared" si="30"/>
        <v>48</v>
      </c>
      <c r="G105">
        <f t="shared" si="30"/>
        <v>60</v>
      </c>
      <c r="H105">
        <f t="shared" si="30"/>
        <v>72</v>
      </c>
      <c r="I105">
        <f t="shared" si="30"/>
        <v>84</v>
      </c>
      <c r="J105">
        <f t="shared" si="30"/>
        <v>96</v>
      </c>
      <c r="K105">
        <f t="shared" si="30"/>
        <v>108</v>
      </c>
      <c r="L105">
        <f t="shared" si="30"/>
        <v>120</v>
      </c>
      <c r="M105">
        <f t="shared" si="30"/>
        <v>132</v>
      </c>
      <c r="N105">
        <f t="shared" si="30"/>
        <v>144</v>
      </c>
      <c r="O105">
        <f>ROUNDUP(N105+O103*12/O95,0)</f>
        <v>178</v>
      </c>
      <c r="P105" s="13"/>
    </row>
    <row r="106" spans="1:2" ht="12.75">
      <c r="A106" t="s">
        <v>54</v>
      </c>
      <c r="B106" s="19">
        <f>O105</f>
        <v>178</v>
      </c>
    </row>
  </sheetData>
  <sheetProtection/>
  <mergeCells count="1">
    <mergeCell ref="A1:H1"/>
  </mergeCells>
  <printOptions/>
  <pageMargins left="0.787401575" right="0.787401575" top="0.984251969" bottom="0.984251969" header="0.5" footer="0.5"/>
  <pageSetup orientation="portrait" paperSize="9"/>
  <ignoredErrors>
    <ignoredError sqref="C17:H18 C20:H20 D26:H26 C27 E27:G27 C22:H24 C21:G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elafrit</cp:lastModifiedBy>
  <cp:lastPrinted>2017-11-27T07:17:10Z</cp:lastPrinted>
  <dcterms:created xsi:type="dcterms:W3CDTF">2003-09-22T07:28:18Z</dcterms:created>
  <dcterms:modified xsi:type="dcterms:W3CDTF">2017-12-19T08:49:34Z</dcterms:modified>
  <cp:category/>
  <cp:version/>
  <cp:contentType/>
  <cp:contentStatus/>
</cp:coreProperties>
</file>